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7635" yWindow="-15" windowWidth="7635" windowHeight="8160"/>
  </bookViews>
  <sheets>
    <sheet name="TS" sheetId="4" r:id="rId1"/>
    <sheet name="TSD" sheetId="9" r:id="rId2"/>
  </sheets>
  <definedNames>
    <definedName name="_xlnm._FilterDatabase" localSheetId="0" hidden="1">TS!$C$1:$C$55</definedName>
    <definedName name="_xlnm.Print_Area" localSheetId="0">TS!$A$1:$Z$64</definedName>
    <definedName name="_xlnm.Print_Titles" localSheetId="0">TS!$6:$7</definedName>
  </definedNames>
  <calcPr calcId="144525"/>
</workbook>
</file>

<file path=xl/calcChain.xml><?xml version="1.0" encoding="utf-8"?>
<calcChain xmlns="http://schemas.openxmlformats.org/spreadsheetml/2006/main">
  <c r="O69" i="4" l="1"/>
  <c r="L69" i="4"/>
  <c r="I69" i="4"/>
  <c r="H67" i="4"/>
  <c r="F69" i="4"/>
  <c r="G69" i="4"/>
  <c r="V12" i="4"/>
  <c r="A12" i="4"/>
  <c r="E11" i="4"/>
  <c r="O12" i="4" s="1"/>
  <c r="V10" i="4"/>
  <c r="E9" i="4"/>
  <c r="O10" i="4" s="1"/>
  <c r="O16" i="4"/>
  <c r="L16" i="4"/>
  <c r="I16" i="4"/>
  <c r="F16" i="4"/>
  <c r="H16" i="4"/>
  <c r="G16" i="4"/>
  <c r="E15" i="4"/>
  <c r="P14" i="4" s="1"/>
  <c r="H10" i="4" l="1"/>
  <c r="H8" i="4"/>
  <c r="L10" i="4"/>
  <c r="M8" i="4"/>
  <c r="N8" i="4" s="1"/>
  <c r="P10" i="4"/>
  <c r="Q10" i="4" s="1"/>
  <c r="AA10" i="4" s="1"/>
  <c r="Q12" i="4"/>
  <c r="AA12" i="4" s="1"/>
  <c r="H12" i="4"/>
  <c r="L12" i="4"/>
  <c r="N12" i="4" s="1"/>
  <c r="M10" i="4"/>
  <c r="N10" i="4" s="1"/>
  <c r="J8" i="4"/>
  <c r="P8" i="4"/>
  <c r="F10" i="4"/>
  <c r="J10" i="4"/>
  <c r="I12" i="4" s="1"/>
  <c r="K12" i="4" s="1"/>
  <c r="F12" i="4"/>
  <c r="G10" i="4"/>
  <c r="G12" i="4" s="1"/>
  <c r="H14" i="4"/>
  <c r="J14" i="4"/>
  <c r="K14" i="4" s="1"/>
  <c r="M14" i="4"/>
  <c r="N14" i="4" s="1"/>
  <c r="Q14" i="4"/>
  <c r="AA14" i="4" s="1"/>
  <c r="E68" i="4"/>
  <c r="M67" i="4" s="1"/>
  <c r="N67" i="4" s="1"/>
  <c r="K8" i="4" l="1"/>
  <c r="I10" i="4"/>
  <c r="K10" i="4" s="1"/>
  <c r="Q8" i="4"/>
  <c r="AA8" i="4" s="1"/>
  <c r="J67" i="4"/>
  <c r="K67" i="4" s="1"/>
  <c r="P67" i="4"/>
  <c r="V16" i="4"/>
  <c r="Q67" i="4" l="1"/>
  <c r="AA67" i="4" s="1"/>
  <c r="J73" i="4"/>
  <c r="E72" i="4"/>
  <c r="P71" i="4" s="1"/>
  <c r="E70" i="4"/>
  <c r="F71" i="4" s="1"/>
  <c r="M69" i="4" l="1"/>
  <c r="N69" i="4" s="1"/>
  <c r="G71" i="4"/>
  <c r="G73" i="4" s="1"/>
  <c r="O71" i="4"/>
  <c r="H69" i="4"/>
  <c r="H71" i="4"/>
  <c r="L71" i="4"/>
  <c r="J69" i="4"/>
  <c r="P69" i="4"/>
  <c r="M71" i="4"/>
  <c r="F73" i="4"/>
  <c r="J71" i="4"/>
  <c r="I73" i="4" s="1"/>
  <c r="K73" i="4" s="1"/>
  <c r="O73" i="4"/>
  <c r="H73" i="4"/>
  <c r="L73" i="4"/>
  <c r="N73" i="4" s="1"/>
  <c r="E57" i="4"/>
  <c r="M56" i="4" s="1"/>
  <c r="E55" i="4"/>
  <c r="J54" i="4" s="1"/>
  <c r="I56" i="4" s="1"/>
  <c r="E53" i="4"/>
  <c r="J52" i="4" s="1"/>
  <c r="I54" i="4" s="1"/>
  <c r="K54" i="4" s="1"/>
  <c r="J64" i="4"/>
  <c r="E63" i="4"/>
  <c r="L64" i="4" s="1"/>
  <c r="N64" i="4" s="1"/>
  <c r="E61" i="4"/>
  <c r="O62" i="4" s="1"/>
  <c r="O60" i="4"/>
  <c r="E59" i="4"/>
  <c r="F60" i="4" s="1"/>
  <c r="F64" i="4" l="1"/>
  <c r="L58" i="4"/>
  <c r="P56" i="4"/>
  <c r="L56" i="4"/>
  <c r="N56" i="4" s="1"/>
  <c r="H56" i="4"/>
  <c r="M54" i="4"/>
  <c r="H54" i="4"/>
  <c r="M52" i="4"/>
  <c r="M62" i="4"/>
  <c r="P58" i="4"/>
  <c r="J58" i="4"/>
  <c r="I60" i="4" s="1"/>
  <c r="O56" i="4"/>
  <c r="L54" i="4"/>
  <c r="N54" i="4" s="1"/>
  <c r="P52" i="4"/>
  <c r="P62" i="4"/>
  <c r="AA62" i="4" s="1"/>
  <c r="O64" i="4"/>
  <c r="O58" i="4"/>
  <c r="Q58" i="4" s="1"/>
  <c r="J56" i="4"/>
  <c r="I58" i="4" s="1"/>
  <c r="P54" i="4"/>
  <c r="M58" i="4"/>
  <c r="H58" i="4"/>
  <c r="O54" i="4"/>
  <c r="Q73" i="4"/>
  <c r="AA73" i="4" s="1"/>
  <c r="Q69" i="4"/>
  <c r="AA69" i="4" s="1"/>
  <c r="N71" i="4"/>
  <c r="K69" i="4"/>
  <c r="I71" i="4"/>
  <c r="K71" i="4" s="1"/>
  <c r="Q71" i="4"/>
  <c r="AA71" i="4" s="1"/>
  <c r="F58" i="4"/>
  <c r="F56" i="4"/>
  <c r="Q62" i="4"/>
  <c r="M60" i="4"/>
  <c r="F62" i="4"/>
  <c r="J62" i="4"/>
  <c r="I64" i="4" s="1"/>
  <c r="K64" i="4" s="1"/>
  <c r="Q64" i="4"/>
  <c r="AA64" i="4" s="1"/>
  <c r="H62" i="4"/>
  <c r="L62" i="4"/>
  <c r="N62" i="4" s="1"/>
  <c r="H60" i="4"/>
  <c r="L60" i="4"/>
  <c r="N60" i="4" s="1"/>
  <c r="P60" i="4"/>
  <c r="Q60" i="4" s="1"/>
  <c r="J60" i="4"/>
  <c r="I62" i="4" s="1"/>
  <c r="K62" i="4" s="1"/>
  <c r="H64" i="4"/>
  <c r="Q54" i="4" l="1"/>
  <c r="K58" i="4"/>
  <c r="N58" i="4"/>
  <c r="Q56" i="4"/>
  <c r="AA56" i="4" s="1"/>
  <c r="K56" i="4"/>
  <c r="AA58" i="4"/>
  <c r="AA60" i="4"/>
  <c r="K60" i="4"/>
  <c r="V24" i="4" l="1"/>
  <c r="C2" i="9" l="1"/>
  <c r="E21" i="4" l="1"/>
  <c r="E23" i="4"/>
  <c r="E25" i="4"/>
  <c r="E27" i="4"/>
  <c r="E29" i="4"/>
  <c r="F30" i="4" s="1"/>
  <c r="E31" i="4"/>
  <c r="E33" i="4"/>
  <c r="E35" i="4"/>
  <c r="F40" i="4" s="1"/>
  <c r="E37" i="4"/>
  <c r="E39" i="4"/>
  <c r="E41" i="4"/>
  <c r="E43" i="4"/>
  <c r="F44" i="4" s="1"/>
  <c r="E45" i="4"/>
  <c r="E47" i="4"/>
  <c r="E49" i="4"/>
  <c r="E51" i="4"/>
  <c r="F42" i="4"/>
  <c r="F28" i="4" l="1"/>
  <c r="O52" i="4"/>
  <c r="Q52" i="4" s="1"/>
  <c r="H52" i="4"/>
  <c r="L52" i="4"/>
  <c r="N52" i="4" s="1"/>
  <c r="F24" i="4"/>
  <c r="F54" i="4"/>
  <c r="M28" i="4" l="1"/>
  <c r="M34" i="4"/>
  <c r="M36" i="4"/>
  <c r="P44" i="4"/>
  <c r="M48" i="4"/>
  <c r="O50" i="4"/>
  <c r="J48" i="4"/>
  <c r="I50" i="4" s="1"/>
  <c r="L50" i="4"/>
  <c r="P48" i="4"/>
  <c r="J24" i="4"/>
  <c r="I26" i="4" s="1"/>
  <c r="P24" i="4"/>
  <c r="L26" i="4"/>
  <c r="H26" i="4"/>
  <c r="M24" i="4"/>
  <c r="H48" i="4"/>
  <c r="M46" i="4"/>
  <c r="O48" i="4"/>
  <c r="J46" i="4"/>
  <c r="I48" i="4" s="1"/>
  <c r="L48" i="4"/>
  <c r="J38" i="4"/>
  <c r="I40" i="4" s="1"/>
  <c r="P38" i="4"/>
  <c r="L40" i="4"/>
  <c r="H40" i="4"/>
  <c r="M38" i="4"/>
  <c r="O40" i="4"/>
  <c r="H32" i="4"/>
  <c r="M30" i="4"/>
  <c r="O32" i="4"/>
  <c r="P30" i="4"/>
  <c r="J30" i="4"/>
  <c r="I32" i="4" s="1"/>
  <c r="P22" i="4"/>
  <c r="L24" i="4"/>
  <c r="H24" i="4"/>
  <c r="J22" i="4"/>
  <c r="I24" i="4" s="1"/>
  <c r="M22" i="4"/>
  <c r="O26" i="4"/>
  <c r="H42" i="4"/>
  <c r="M40" i="4"/>
  <c r="O42" i="4"/>
  <c r="J40" i="4"/>
  <c r="I42" i="4" s="1"/>
  <c r="L42" i="4"/>
  <c r="M44" i="4"/>
  <c r="H46" i="4"/>
  <c r="L46" i="4"/>
  <c r="J44" i="4"/>
  <c r="I46" i="4" s="1"/>
  <c r="O46" i="4"/>
  <c r="J36" i="4"/>
  <c r="I38" i="4" s="1"/>
  <c r="L38" i="4"/>
  <c r="P36" i="4"/>
  <c r="H38" i="4"/>
  <c r="H30" i="4"/>
  <c r="L30" i="4"/>
  <c r="J28" i="4"/>
  <c r="P28" i="4"/>
  <c r="O30" i="4"/>
  <c r="H50" i="4"/>
  <c r="P40" i="4"/>
  <c r="L32" i="4"/>
  <c r="O24" i="4"/>
  <c r="M32" i="4"/>
  <c r="O34" i="4"/>
  <c r="P32" i="4"/>
  <c r="H34" i="4"/>
  <c r="J32" i="4"/>
  <c r="I34" i="4" s="1"/>
  <c r="L34" i="4"/>
  <c r="J50" i="4"/>
  <c r="I52" i="4" s="1"/>
  <c r="K52" i="4" s="1"/>
  <c r="P50" i="4"/>
  <c r="M50" i="4"/>
  <c r="M42" i="4"/>
  <c r="H44" i="4"/>
  <c r="J42" i="4"/>
  <c r="I44" i="4" s="1"/>
  <c r="L44" i="4"/>
  <c r="P42" i="4"/>
  <c r="O44" i="4"/>
  <c r="J34" i="4"/>
  <c r="I36" i="4" s="1"/>
  <c r="P34" i="4"/>
  <c r="O36" i="4"/>
  <c r="H36" i="4"/>
  <c r="L36" i="4"/>
  <c r="J26" i="4"/>
  <c r="I28" i="4" s="1"/>
  <c r="P26" i="4"/>
  <c r="O28" i="4"/>
  <c r="H28" i="4"/>
  <c r="M26" i="4"/>
  <c r="L28" i="4"/>
  <c r="P46" i="4"/>
  <c r="O38" i="4"/>
  <c r="E19" i="4"/>
  <c r="F20" i="4" s="1"/>
  <c r="E17" i="4"/>
  <c r="F18" i="4" s="1"/>
  <c r="Q44" i="4" l="1"/>
  <c r="AA44" i="4" s="1"/>
  <c r="Q38" i="4"/>
  <c r="AA38" i="4" s="1"/>
  <c r="Q28" i="4"/>
  <c r="AA28" i="4" s="1"/>
  <c r="Q30" i="4"/>
  <c r="AA30" i="4" s="1"/>
  <c r="AA54" i="4"/>
  <c r="N26" i="4"/>
  <c r="K46" i="4"/>
  <c r="K38" i="4"/>
  <c r="Q32" i="4"/>
  <c r="AA32" i="4" s="1"/>
  <c r="Q40" i="4"/>
  <c r="AA40" i="4" s="1"/>
  <c r="K48" i="4"/>
  <c r="L20" i="4"/>
  <c r="M16" i="4"/>
  <c r="K44" i="4"/>
  <c r="N44" i="4"/>
  <c r="N46" i="4"/>
  <c r="N28" i="4"/>
  <c r="N42" i="4"/>
  <c r="N36" i="4"/>
  <c r="N38" i="4"/>
  <c r="N48" i="4"/>
  <c r="N34" i="4"/>
  <c r="Q26" i="4"/>
  <c r="AA26" i="4" s="1"/>
  <c r="AA52" i="4"/>
  <c r="N30" i="4"/>
  <c r="Q42" i="4"/>
  <c r="AA42" i="4" s="1"/>
  <c r="K24" i="4"/>
  <c r="K32" i="4"/>
  <c r="N40" i="4"/>
  <c r="Q48" i="4"/>
  <c r="AA48" i="4" s="1"/>
  <c r="H22" i="4"/>
  <c r="L22" i="4"/>
  <c r="O22" i="4"/>
  <c r="K42" i="4"/>
  <c r="Q36" i="4"/>
  <c r="AA36" i="4" s="1"/>
  <c r="Q34" i="4"/>
  <c r="AA34" i="4" s="1"/>
  <c r="N32" i="4"/>
  <c r="K36" i="4"/>
  <c r="N50" i="4"/>
  <c r="K28" i="4"/>
  <c r="I30" i="4"/>
  <c r="K30" i="4" s="1"/>
  <c r="K34" i="4"/>
  <c r="Q46" i="4"/>
  <c r="AA46" i="4" s="1"/>
  <c r="N24" i="4"/>
  <c r="K40" i="4"/>
  <c r="Q24" i="4"/>
  <c r="AA24" i="4" s="1"/>
  <c r="K50" i="4"/>
  <c r="K26" i="4"/>
  <c r="Q50" i="4"/>
  <c r="AA50" i="4" s="1"/>
  <c r="M20" i="4"/>
  <c r="P16" i="4"/>
  <c r="P20" i="4"/>
  <c r="L18" i="4"/>
  <c r="M18" i="4"/>
  <c r="O18" i="4"/>
  <c r="O20" i="4"/>
  <c r="P18" i="4"/>
  <c r="Q22" i="4" l="1"/>
  <c r="AA22" i="4" s="1"/>
  <c r="N22" i="4"/>
  <c r="Q20" i="4" l="1"/>
  <c r="AA20" i="4" s="1"/>
  <c r="N20" i="4"/>
  <c r="A18" i="4" l="1"/>
  <c r="A20" i="4" s="1"/>
  <c r="A22" i="4" s="1"/>
  <c r="A24" i="4" s="1"/>
  <c r="A26" i="4" s="1"/>
  <c r="A28" i="4" s="1"/>
  <c r="A30" i="4" s="1"/>
  <c r="A32" i="4" s="1"/>
  <c r="A34" i="4" s="1"/>
  <c r="A36" i="4" s="1"/>
  <c r="A38" i="4" s="1"/>
  <c r="A40" i="4" s="1"/>
  <c r="A42" i="4" s="1"/>
  <c r="A44" i="4" s="1"/>
  <c r="A46" i="4" s="1"/>
  <c r="A48" i="4" s="1"/>
  <c r="A50" i="4" s="1"/>
  <c r="A52" i="4" s="1"/>
  <c r="A54" i="4" s="1"/>
  <c r="A56" i="4" s="1"/>
  <c r="A58" i="4" s="1"/>
  <c r="A60" i="4" s="1"/>
  <c r="A62" i="4" s="1"/>
  <c r="A64" i="4" s="1"/>
  <c r="J20" i="4" l="1"/>
  <c r="I22" i="4" s="1"/>
  <c r="K22" i="4" s="1"/>
  <c r="N16" i="4"/>
  <c r="G18" i="4"/>
  <c r="G20" i="4" s="1"/>
  <c r="G22" i="4" s="1"/>
  <c r="G24" i="4" s="1"/>
  <c r="G26" i="4" s="1"/>
  <c r="G28" i="4" s="1"/>
  <c r="G30" i="4" s="1"/>
  <c r="G32" i="4" s="1"/>
  <c r="G34" i="4" s="1"/>
  <c r="G36" i="4" s="1"/>
  <c r="G38" i="4" s="1"/>
  <c r="G40" i="4" s="1"/>
  <c r="G42" i="4" s="1"/>
  <c r="G44" i="4" s="1"/>
  <c r="G46" i="4" s="1"/>
  <c r="G48" i="4" s="1"/>
  <c r="G50" i="4" s="1"/>
  <c r="H20" i="4"/>
  <c r="J16" i="4"/>
  <c r="Q16" i="4"/>
  <c r="AA16" i="4" s="1"/>
  <c r="H18" i="4"/>
  <c r="J18" i="4"/>
  <c r="I20" i="4" s="1"/>
  <c r="G52" i="4" l="1"/>
  <c r="G54" i="4" s="1"/>
  <c r="G56" i="4" s="1"/>
  <c r="G58" i="4" s="1"/>
  <c r="G60" i="4" s="1"/>
  <c r="G62" i="4" s="1"/>
  <c r="G64" i="4" s="1"/>
  <c r="Q18" i="4"/>
  <c r="AA18" i="4" s="1"/>
  <c r="K20" i="4"/>
  <c r="N18" i="4"/>
  <c r="K16" i="4"/>
  <c r="I18" i="4"/>
  <c r="K18" i="4" s="1"/>
</calcChain>
</file>

<file path=xl/sharedStrings.xml><?xml version="1.0" encoding="utf-8"?>
<sst xmlns="http://schemas.openxmlformats.org/spreadsheetml/2006/main" count="180" uniqueCount="147">
  <si>
    <t>Tower Type</t>
  </si>
  <si>
    <t>Adjacent Span</t>
  </si>
  <si>
    <t>Left</t>
  </si>
  <si>
    <t>Right</t>
  </si>
  <si>
    <t>Total</t>
  </si>
  <si>
    <t>Elevation</t>
  </si>
  <si>
    <t>Twr Extn</t>
  </si>
  <si>
    <t>Easting</t>
  </si>
  <si>
    <t>Northing</t>
  </si>
  <si>
    <t>Weight Span Check</t>
  </si>
  <si>
    <t>Weight Span (Cold)</t>
  </si>
  <si>
    <t>Weight Span (Hot)</t>
  </si>
  <si>
    <t>Deviation Angle (DMS)</t>
  </si>
  <si>
    <t>Span (m)</t>
  </si>
  <si>
    <t>Section Length (m)</t>
  </si>
  <si>
    <t>Wind Span (m)</t>
  </si>
  <si>
    <t>Longitude</t>
  </si>
  <si>
    <t>Latitude</t>
  </si>
  <si>
    <t>Cum.  Chainage (m)</t>
  </si>
  <si>
    <t>Spherical Coordinate</t>
  </si>
  <si>
    <t>Crossarm_Ht</t>
  </si>
  <si>
    <t>GC</t>
  </si>
  <si>
    <t>Row</t>
  </si>
  <si>
    <t>T_Hot</t>
  </si>
  <si>
    <t>T_Cold</t>
  </si>
  <si>
    <t>Hor_Grid</t>
  </si>
  <si>
    <t>Ver_Grid</t>
  </si>
  <si>
    <t>Hor_Scale</t>
  </si>
  <si>
    <t>Ver_Scale</t>
  </si>
  <si>
    <t>Plot_Scale</t>
  </si>
  <si>
    <t>Sheet_Gap</t>
  </si>
  <si>
    <t>PandP_Dist</t>
  </si>
  <si>
    <t>Grid_Ht</t>
  </si>
  <si>
    <t>Cond_Wt</t>
  </si>
  <si>
    <t>Sl No</t>
  </si>
  <si>
    <t>Chimney Ht</t>
  </si>
  <si>
    <t>NAME OF CLIENT :- KERALA STATE ELECTRICITY BOARD</t>
  </si>
  <si>
    <t>UTM Coordinate (Zone - 43P)</t>
  </si>
  <si>
    <t>KLD+00</t>
  </si>
  <si>
    <t>KLC+00</t>
  </si>
  <si>
    <t>KLB+00</t>
  </si>
  <si>
    <t>KLA+06</t>
  </si>
  <si>
    <t>Loc No.</t>
  </si>
  <si>
    <t>Sag Tension details for 220kV M/C KM TL (Wind Zone-2)</t>
  </si>
  <si>
    <t>Major Crossings/Remarks</t>
  </si>
  <si>
    <t>KLB+03</t>
  </si>
  <si>
    <t>KLB+09</t>
  </si>
  <si>
    <t>Land Use</t>
  </si>
  <si>
    <t>Soil Clasification</t>
  </si>
  <si>
    <t>Existing Tower No.</t>
  </si>
  <si>
    <t>KLB+06</t>
  </si>
  <si>
    <t>KLA+09</t>
  </si>
  <si>
    <t>KLC+06</t>
  </si>
  <si>
    <t>00°00'00"</t>
  </si>
  <si>
    <t>00°00'30" LT</t>
  </si>
  <si>
    <t>202</t>
  </si>
  <si>
    <t>203</t>
  </si>
  <si>
    <t>204</t>
  </si>
  <si>
    <t>206</t>
  </si>
  <si>
    <t>208</t>
  </si>
  <si>
    <t>210</t>
  </si>
  <si>
    <t>211</t>
  </si>
  <si>
    <t>213</t>
  </si>
  <si>
    <t>215</t>
  </si>
  <si>
    <t>216</t>
  </si>
  <si>
    <t>218</t>
  </si>
  <si>
    <t>219</t>
  </si>
  <si>
    <t>221</t>
  </si>
  <si>
    <t>223</t>
  </si>
  <si>
    <t>224</t>
  </si>
  <si>
    <t>225</t>
  </si>
  <si>
    <t>227</t>
  </si>
  <si>
    <t>229</t>
  </si>
  <si>
    <t>NAME OF AGENCY :- FOR SOLUTIONS</t>
  </si>
  <si>
    <t>11°02'35" LT</t>
  </si>
  <si>
    <t>02°07'48" LT</t>
  </si>
  <si>
    <t>06°12'45" RT</t>
  </si>
  <si>
    <t>00°06'32" LT</t>
  </si>
  <si>
    <t>13°32'12" LT</t>
  </si>
  <si>
    <t>00°21'41" LT</t>
  </si>
  <si>
    <t>00°06'35" RT</t>
  </si>
  <si>
    <t>MLD+06</t>
  </si>
  <si>
    <t>AP1</t>
  </si>
  <si>
    <t>01°49'39" RT</t>
  </si>
  <si>
    <t>AP2</t>
  </si>
  <si>
    <t>KLC+09</t>
  </si>
  <si>
    <t>26°56'18" LT</t>
  </si>
  <si>
    <t>AP3</t>
  </si>
  <si>
    <t>26°05'22" LT</t>
  </si>
  <si>
    <t>AP4</t>
  </si>
  <si>
    <t>90°00'00" RT</t>
  </si>
  <si>
    <t>AP5</t>
  </si>
  <si>
    <t>Compound Wall 2nos, Road, 11kV Line, Building 6nos, Well 2nos</t>
  </si>
  <si>
    <t>11kV Line 2nos, Building 2nos, Well, Road</t>
  </si>
  <si>
    <t>Well, Building, 11kV Line</t>
  </si>
  <si>
    <t>11kV Line, Road, LT Line, Building 5nos</t>
  </si>
  <si>
    <t>11kV Line 3nos, LT Line 2nos, Well 2nos, Building 4nos</t>
  </si>
  <si>
    <t>11kV Line, Building 2nos</t>
  </si>
  <si>
    <t>11kV Line 3nos, Road 2nos, Transformer, LT Line, Building</t>
  </si>
  <si>
    <t>Building, Road, 11kV Line 3nos, LT Line, Well</t>
  </si>
  <si>
    <t>11kV Line</t>
  </si>
  <si>
    <t>Building 9nos, 11kV Line, Road 2nos, LT Line 3nos, Nala, Well 3nos</t>
  </si>
  <si>
    <t>Nala, 11kV Line, River, Paddy Field</t>
  </si>
  <si>
    <t>LT Line, 11kV Line, Road, Paddy Field</t>
  </si>
  <si>
    <t>11kV Line, Road, LT Line</t>
  </si>
  <si>
    <t>Well 2nos, Building 5nos, 11kV Line, LT Line</t>
  </si>
  <si>
    <t>LT Line 2nos, Road 2nos, 11kV Line, Paddy Field</t>
  </si>
  <si>
    <t>Nala, Mud Road, LT Line, Paddy Field</t>
  </si>
  <si>
    <t>Nala, Building, Mud Road, Paddy Field</t>
  </si>
  <si>
    <t>Paddy Field, Building 4nos, 11kV Line, Road, Transformer</t>
  </si>
  <si>
    <t>Building 2nos, Pond 2nos, Well, Paddy Field</t>
  </si>
  <si>
    <t>Nala</t>
  </si>
  <si>
    <t>Road, Nala</t>
  </si>
  <si>
    <t>Mud Road 2nos, Nala 2nos, Well, Compound Wall</t>
  </si>
  <si>
    <t>MLD Tower at crosing of both lines, Tower shifted by 40.5m towards 226</t>
  </si>
  <si>
    <t>Tower 222 to be removed</t>
  </si>
  <si>
    <t>Tower 220 to be removed</t>
  </si>
  <si>
    <t>Tower 217 to be removed</t>
  </si>
  <si>
    <t>Tower 214 to be removed</t>
  </si>
  <si>
    <t>Tower 212 to be removed</t>
  </si>
  <si>
    <t>Tower 209 to be removed</t>
  </si>
  <si>
    <t>Tower 207 to be removed</t>
  </si>
  <si>
    <t>Tower 205 to be removed</t>
  </si>
  <si>
    <t>NAME OF PROJECT :- 220kV/110kV M/C MV KOTTAYAM - ETTUMANOOR TRANSMISSION LINE</t>
  </si>
  <si>
    <t>229A</t>
  </si>
  <si>
    <t>1A</t>
  </si>
  <si>
    <t>KLD+03</t>
  </si>
  <si>
    <t>5A</t>
  </si>
  <si>
    <t>225A</t>
  </si>
  <si>
    <t>D60+00</t>
  </si>
  <si>
    <t>DETAILED SURVEY TOWER SCHEDULE (LINE LENGTH: 6.477 Km)</t>
  </si>
  <si>
    <t>Tower used to carry bottom circuit</t>
  </si>
  <si>
    <t>Terminal Tower</t>
  </si>
  <si>
    <t>D60+04.5</t>
  </si>
  <si>
    <t>Bay1</t>
  </si>
  <si>
    <t>Gantry</t>
  </si>
  <si>
    <t>Bay2</t>
  </si>
  <si>
    <t>D60+04.5 towers to be used (Bottom Circuit)</t>
  </si>
  <si>
    <t>229B</t>
  </si>
  <si>
    <t>94°07'14" RT</t>
  </si>
  <si>
    <t>Bay3</t>
  </si>
  <si>
    <t>Bay1 (Top Circuit)</t>
  </si>
  <si>
    <t>Building</t>
  </si>
  <si>
    <t>21°10'14" LT</t>
  </si>
  <si>
    <t>52°43'60" RT</t>
  </si>
  <si>
    <t>134°25'06" RT</t>
  </si>
  <si>
    <t>50°45'04" 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</si>
</sst>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 * #,##0.00_ ;_ * \-#,##0.00_ ;_ * &quot;-&quot;??_ ;_ @_ "/>
    <numFmt numFmtId="165" formatCode="#,##0.0"/>
    <numFmt numFmtId="166" formatCode="_ * #,##0.000_ ;_ * \-#,##0.000_ ;_ * &quot;-&quot;??_ ;_ @_ "/>
    <numFmt numFmtId="167" formatCode="0.0"/>
    <numFmt numFmtId="168" formatCode="_ * #,##0.0_ ;_ * \-#,##0.0_ ;_ * &quot;-&quot;??_ ;_ @_ "/>
    <numFmt numFmtId="169" formatCode="0.000"/>
  </numFmts>
  <fonts count="7" x14ac:knownFonts="1">
    <font>
      <sz val="10"/>
      <name val="Arial"/>
    </font>
    <font>
      <sz val="10"/>
      <name val="Times New Roman"/>
      <family val="1"/>
    </font>
    <font>
      <b/>
      <sz val="8"/>
      <name val="Tahoma"/>
      <family val="2"/>
    </font>
    <font>
      <sz val="8"/>
      <name val="Tahoma"/>
      <family val="2"/>
    </font>
    <font>
      <sz val="10"/>
      <name val="Arial"/>
      <family val="2"/>
    </font>
    <font>
      <b/>
      <sz val="12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4" fillId="0" borderId="0"/>
  </cellStyleXfs>
  <cellXfs count="206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/>
    </xf>
    <xf numFmtId="165" fontId="3" fillId="2" borderId="8" xfId="0" applyNumberFormat="1" applyFont="1" applyFill="1" applyBorder="1" applyAlignment="1">
      <alignment vertical="center"/>
    </xf>
    <xf numFmtId="165" fontId="3" fillId="2" borderId="7" xfId="0" applyNumberFormat="1" applyFont="1" applyFill="1" applyBorder="1" applyAlignment="1">
      <alignment vertical="center"/>
    </xf>
    <xf numFmtId="1" fontId="3" fillId="0" borderId="15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/>
    <xf numFmtId="1" fontId="3" fillId="2" borderId="23" xfId="0" applyNumberFormat="1" applyFont="1" applyFill="1" applyBorder="1" applyAlignment="1">
      <alignment vertical="center" wrapText="1"/>
    </xf>
    <xf numFmtId="166" fontId="3" fillId="2" borderId="25" xfId="1" applyNumberFormat="1" applyFont="1" applyFill="1" applyBorder="1" applyAlignment="1">
      <alignment horizontal="center" vertical="center"/>
    </xf>
    <xf numFmtId="1" fontId="3" fillId="0" borderId="23" xfId="0" applyNumberFormat="1" applyFont="1" applyFill="1" applyBorder="1" applyAlignment="1">
      <alignment vertical="center" wrapText="1"/>
    </xf>
    <xf numFmtId="165" fontId="3" fillId="0" borderId="24" xfId="0" applyNumberFormat="1" applyFont="1" applyFill="1" applyBorder="1" applyAlignment="1">
      <alignment vertical="center"/>
    </xf>
    <xf numFmtId="165" fontId="3" fillId="0" borderId="25" xfId="0" applyNumberFormat="1" applyFont="1" applyFill="1" applyBorder="1" applyAlignment="1">
      <alignment vertical="center"/>
    </xf>
    <xf numFmtId="165" fontId="3" fillId="0" borderId="23" xfId="0" applyNumberFormat="1" applyFont="1" applyFill="1" applyBorder="1" applyAlignment="1">
      <alignment vertical="center"/>
    </xf>
    <xf numFmtId="166" fontId="3" fillId="0" borderId="25" xfId="1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/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26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3" borderId="30" xfId="0" applyNumberFormat="1" applyFont="1" applyFill="1" applyBorder="1" applyAlignment="1">
      <alignment horizontal="center" vertical="center"/>
    </xf>
    <xf numFmtId="2" fontId="2" fillId="3" borderId="12" xfId="0" applyNumberFormat="1" applyFont="1" applyFill="1" applyBorder="1" applyAlignment="1">
      <alignment horizontal="center" vertical="center"/>
    </xf>
    <xf numFmtId="1" fontId="2" fillId="3" borderId="13" xfId="0" applyNumberFormat="1" applyFont="1" applyFill="1" applyBorder="1" applyAlignment="1">
      <alignment horizontal="center" vertical="center"/>
    </xf>
    <xf numFmtId="2" fontId="2" fillId="3" borderId="10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3" fillId="0" borderId="15" xfId="0" applyNumberFormat="1" applyFont="1" applyFill="1" applyBorder="1" applyAlignment="1">
      <alignment horizontal="center" vertical="center" wrapText="1"/>
    </xf>
    <xf numFmtId="1" fontId="3" fillId="2" borderId="22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vertical="center" wrapText="1"/>
    </xf>
    <xf numFmtId="2" fontId="3" fillId="0" borderId="26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2" fontId="3" fillId="0" borderId="17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26" xfId="0" applyNumberFormat="1" applyFont="1" applyFill="1" applyBorder="1" applyAlignment="1">
      <alignment horizontal="center" vertical="center" wrapText="1"/>
    </xf>
    <xf numFmtId="1" fontId="3" fillId="2" borderId="15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4" fillId="0" borderId="0" xfId="2"/>
    <xf numFmtId="0" fontId="4" fillId="0" borderId="0" xfId="2" applyFont="1"/>
    <xf numFmtId="168" fontId="3" fillId="2" borderId="4" xfId="0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" fontId="2" fillId="3" borderId="10" xfId="0" applyNumberFormat="1" applyFont="1" applyFill="1" applyBorder="1" applyAlignment="1">
      <alignment horizontal="center" vertical="center" wrapText="1"/>
    </xf>
    <xf numFmtId="1" fontId="2" fillId="3" borderId="1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169" fontId="0" fillId="0" borderId="1" xfId="0" applyNumberFormat="1" applyBorder="1"/>
    <xf numFmtId="166" fontId="3" fillId="2" borderId="1" xfId="1" applyNumberFormat="1" applyFont="1" applyFill="1" applyBorder="1"/>
    <xf numFmtId="0" fontId="3" fillId="2" borderId="9" xfId="0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/>
    <xf numFmtId="0" fontId="5" fillId="0" borderId="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2" fontId="3" fillId="0" borderId="9" xfId="0" applyNumberFormat="1" applyFont="1" applyFill="1" applyBorder="1" applyAlignment="1">
      <alignment horizontal="center" vertical="center" wrapText="1"/>
    </xf>
    <xf numFmtId="1" fontId="2" fillId="3" borderId="10" xfId="0" applyNumberFormat="1" applyFont="1" applyFill="1" applyBorder="1" applyAlignment="1">
      <alignment horizontal="center" vertical="center"/>
    </xf>
    <xf numFmtId="1" fontId="2" fillId="3" borderId="12" xfId="0" applyNumberFormat="1" applyFont="1" applyFill="1" applyBorder="1" applyAlignment="1">
      <alignment horizontal="center" vertical="center"/>
    </xf>
    <xf numFmtId="2" fontId="3" fillId="2" borderId="28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vertical="center"/>
    </xf>
    <xf numFmtId="165" fontId="3" fillId="2" borderId="3" xfId="0" applyNumberFormat="1" applyFont="1" applyFill="1" applyBorder="1" applyAlignment="1">
      <alignment vertical="center"/>
    </xf>
    <xf numFmtId="165" fontId="3" fillId="2" borderId="5" xfId="0" applyNumberFormat="1" applyFont="1" applyFill="1" applyBorder="1" applyAlignment="1">
      <alignment vertical="center"/>
    </xf>
    <xf numFmtId="166" fontId="3" fillId="2" borderId="4" xfId="1" applyNumberFormat="1" applyFont="1" applyFill="1" applyBorder="1" applyAlignment="1">
      <alignment horizontal="center" vertical="center"/>
    </xf>
    <xf numFmtId="166" fontId="3" fillId="2" borderId="3" xfId="1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/>
    <xf numFmtId="165" fontId="3" fillId="0" borderId="7" xfId="0" applyNumberFormat="1" applyFont="1" applyFill="1" applyBorder="1" applyAlignment="1"/>
    <xf numFmtId="2" fontId="2" fillId="0" borderId="15" xfId="0" applyNumberFormat="1" applyFont="1" applyFill="1" applyBorder="1" applyAlignment="1">
      <alignment horizontal="center" vertical="center" wrapText="1"/>
    </xf>
    <xf numFmtId="168" fontId="3" fillId="2" borderId="1" xfId="1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/>
    <xf numFmtId="165" fontId="3" fillId="2" borderId="7" xfId="0" applyNumberFormat="1" applyFont="1" applyFill="1" applyBorder="1" applyAlignment="1"/>
    <xf numFmtId="2" fontId="2" fillId="2" borderId="22" xfId="0" applyNumberFormat="1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2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2" fontId="3" fillId="2" borderId="27" xfId="0" applyNumberFormat="1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center" vertical="center" wrapText="1"/>
    </xf>
    <xf numFmtId="168" fontId="3" fillId="2" borderId="12" xfId="1" applyNumberFormat="1" applyFont="1" applyFill="1" applyBorder="1" applyAlignment="1">
      <alignment vertical="center" wrapText="1"/>
    </xf>
    <xf numFmtId="165" fontId="3" fillId="2" borderId="12" xfId="0" applyNumberFormat="1" applyFont="1" applyFill="1" applyBorder="1" applyAlignment="1"/>
    <xf numFmtId="165" fontId="3" fillId="2" borderId="13" xfId="0" applyNumberFormat="1" applyFont="1" applyFill="1" applyBorder="1" applyAlignment="1"/>
    <xf numFmtId="165" fontId="3" fillId="2" borderId="10" xfId="0" applyNumberFormat="1" applyFont="1" applyFill="1" applyBorder="1" applyAlignment="1"/>
    <xf numFmtId="2" fontId="3" fillId="2" borderId="35" xfId="0" applyNumberFormat="1" applyFont="1" applyFill="1" applyBorder="1" applyAlignment="1">
      <alignment horizontal="center" vertical="center" wrapText="1"/>
    </xf>
    <xf numFmtId="166" fontId="3" fillId="2" borderId="12" xfId="1" applyNumberFormat="1" applyFont="1" applyFill="1" applyBorder="1"/>
    <xf numFmtId="166" fontId="3" fillId="2" borderId="36" xfId="1" applyNumberFormat="1" applyFont="1" applyFill="1" applyBorder="1" applyAlignment="1">
      <alignment horizontal="center" vertical="center"/>
    </xf>
    <xf numFmtId="1" fontId="3" fillId="2" borderId="35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2" borderId="23" xfId="0" applyNumberFormat="1" applyFont="1" applyFill="1" applyBorder="1" applyAlignment="1">
      <alignment horizontal="center" vertical="center" wrapText="1"/>
    </xf>
    <xf numFmtId="1" fontId="3" fillId="2" borderId="34" xfId="0" applyNumberFormat="1" applyFont="1" applyFill="1" applyBorder="1" applyAlignment="1">
      <alignment horizontal="center" vertical="center" wrapText="1"/>
    </xf>
    <xf numFmtId="1" fontId="3" fillId="2" borderId="39" xfId="0" applyNumberFormat="1" applyFont="1" applyFill="1" applyBorder="1" applyAlignment="1">
      <alignment horizontal="center" vertical="center" wrapText="1"/>
    </xf>
    <xf numFmtId="1" fontId="3" fillId="2" borderId="40" xfId="0" applyNumberFormat="1" applyFont="1" applyFill="1" applyBorder="1" applyAlignment="1">
      <alignment horizontal="center" vertical="center" wrapText="1"/>
    </xf>
    <xf numFmtId="2" fontId="3" fillId="2" borderId="40" xfId="0" applyNumberFormat="1" applyFont="1" applyFill="1" applyBorder="1" applyAlignment="1">
      <alignment horizontal="center" vertical="center" wrapText="1"/>
    </xf>
    <xf numFmtId="2" fontId="3" fillId="2" borderId="42" xfId="0" applyNumberFormat="1" applyFont="1" applyFill="1" applyBorder="1" applyAlignment="1">
      <alignment horizontal="center" vertical="center" wrapText="1"/>
    </xf>
    <xf numFmtId="165" fontId="2" fillId="2" borderId="39" xfId="0" applyNumberFormat="1" applyFont="1" applyFill="1" applyBorder="1" applyAlignment="1">
      <alignment horizontal="center" vertical="center" wrapText="1"/>
    </xf>
    <xf numFmtId="168" fontId="3" fillId="2" borderId="40" xfId="1" applyNumberFormat="1" applyFont="1" applyFill="1" applyBorder="1" applyAlignment="1">
      <alignment vertical="center" wrapText="1"/>
    </xf>
    <xf numFmtId="165" fontId="3" fillId="2" borderId="40" xfId="0" applyNumberFormat="1" applyFont="1" applyFill="1" applyBorder="1" applyAlignment="1"/>
    <xf numFmtId="165" fontId="3" fillId="2" borderId="41" xfId="0" applyNumberFormat="1" applyFont="1" applyFill="1" applyBorder="1" applyAlignment="1"/>
    <xf numFmtId="165" fontId="3" fillId="2" borderId="39" xfId="0" applyNumberFormat="1" applyFont="1" applyFill="1" applyBorder="1" applyAlignment="1"/>
    <xf numFmtId="2" fontId="3" fillId="2" borderId="43" xfId="0" applyNumberFormat="1" applyFont="1" applyFill="1" applyBorder="1" applyAlignment="1">
      <alignment horizontal="center" vertical="center" wrapText="1"/>
    </xf>
    <xf numFmtId="166" fontId="3" fillId="2" borderId="40" xfId="1" applyNumberFormat="1" applyFont="1" applyFill="1" applyBorder="1"/>
    <xf numFmtId="166" fontId="3" fillId="2" borderId="41" xfId="1" applyNumberFormat="1" applyFont="1" applyFill="1" applyBorder="1" applyAlignment="1">
      <alignment horizontal="center" vertical="center"/>
    </xf>
    <xf numFmtId="1" fontId="3" fillId="2" borderId="43" xfId="0" applyNumberFormat="1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169" fontId="1" fillId="0" borderId="0" xfId="0" applyNumberFormat="1" applyFont="1" applyFill="1" applyBorder="1" applyAlignment="1">
      <alignment horizontal="center" vertical="center"/>
    </xf>
    <xf numFmtId="2" fontId="3" fillId="2" borderId="22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37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38" xfId="0" applyNumberFormat="1" applyFont="1" applyFill="1" applyBorder="1" applyAlignment="1">
      <alignment horizontal="center" vertical="center" wrapText="1"/>
    </xf>
    <xf numFmtId="2" fontId="3" fillId="2" borderId="44" xfId="0" applyNumberFormat="1" applyFont="1" applyFill="1" applyBorder="1" applyAlignment="1">
      <alignment horizontal="center" vertical="center" wrapText="1"/>
    </xf>
    <xf numFmtId="2" fontId="3" fillId="2" borderId="4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" fontId="2" fillId="3" borderId="10" xfId="0" applyNumberFormat="1" applyFont="1" applyFill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1" fontId="2" fillId="3" borderId="12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49" fontId="2" fillId="3" borderId="28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3" borderId="12" xfId="0" applyNumberFormat="1" applyFont="1" applyFill="1" applyBorder="1" applyAlignment="1">
      <alignment horizontal="center" vertical="center" wrapText="1"/>
    </xf>
    <xf numFmtId="1" fontId="2" fillId="3" borderId="18" xfId="0" applyNumberFormat="1" applyFont="1" applyFill="1" applyBorder="1" applyAlignment="1">
      <alignment horizontal="center" vertical="center" wrapText="1"/>
    </xf>
    <xf numFmtId="1" fontId="2" fillId="3" borderId="19" xfId="0" applyNumberFormat="1" applyFont="1" applyFill="1" applyBorder="1" applyAlignment="1">
      <alignment horizontal="center" vertical="center" wrapText="1"/>
    </xf>
    <xf numFmtId="1" fontId="2" fillId="3" borderId="29" xfId="0" applyNumberFormat="1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 wrapText="1"/>
    </xf>
    <xf numFmtId="1" fontId="2" fillId="3" borderId="13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1" fontId="2" fillId="3" borderId="16" xfId="0" applyNumberFormat="1" applyFont="1" applyFill="1" applyBorder="1" applyAlignment="1">
      <alignment horizontal="center" vertical="center"/>
    </xf>
    <xf numFmtId="1" fontId="2" fillId="3" borderId="22" xfId="0" applyNumberFormat="1" applyFont="1" applyFill="1" applyBorder="1" applyAlignment="1">
      <alignment horizontal="center" vertical="center"/>
    </xf>
    <xf numFmtId="1" fontId="2" fillId="3" borderId="20" xfId="0" applyNumberFormat="1" applyFont="1" applyFill="1" applyBorder="1" applyAlignment="1">
      <alignment horizontal="center" vertical="center"/>
    </xf>
    <xf numFmtId="1" fontId="2" fillId="3" borderId="16" xfId="0" applyNumberFormat="1" applyFont="1" applyFill="1" applyBorder="1" applyAlignment="1">
      <alignment horizontal="center" vertical="center" wrapText="1"/>
    </xf>
    <xf numFmtId="1" fontId="2" fillId="3" borderId="20" xfId="0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2" fontId="2" fillId="0" borderId="32" xfId="0" applyNumberFormat="1" applyFont="1" applyFill="1" applyBorder="1" applyAlignment="1">
      <alignment horizontal="center" vertical="center" wrapText="1"/>
    </xf>
    <xf numFmtId="2" fontId="3" fillId="0" borderId="45" xfId="0" applyNumberFormat="1" applyFont="1" applyFill="1" applyBorder="1" applyAlignment="1">
      <alignment horizontal="center" vertical="center" wrapText="1"/>
    </xf>
    <xf numFmtId="2" fontId="2" fillId="0" borderId="46" xfId="0" applyNumberFormat="1" applyFont="1" applyFill="1" applyBorder="1" applyAlignment="1">
      <alignment horizontal="center" vertical="center" wrapText="1"/>
    </xf>
    <xf numFmtId="165" fontId="3" fillId="0" borderId="32" xfId="0" applyNumberFormat="1" applyFont="1" applyFill="1" applyBorder="1" applyAlignment="1">
      <alignment horizontal="center"/>
    </xf>
    <xf numFmtId="2" fontId="2" fillId="0" borderId="45" xfId="0" applyNumberFormat="1" applyFont="1" applyFill="1" applyBorder="1" applyAlignment="1">
      <alignment vertical="center" wrapText="1"/>
    </xf>
    <xf numFmtId="165" fontId="3" fillId="0" borderId="47" xfId="0" applyNumberFormat="1" applyFont="1" applyFill="1" applyBorder="1" applyAlignment="1">
      <alignment vertical="center"/>
    </xf>
    <xf numFmtId="165" fontId="3" fillId="0" borderId="48" xfId="0" applyNumberFormat="1" applyFont="1" applyFill="1" applyBorder="1" applyAlignment="1">
      <alignment vertical="center"/>
    </xf>
    <xf numFmtId="165" fontId="3" fillId="0" borderId="49" xfId="0" applyNumberFormat="1" applyFont="1" applyFill="1" applyBorder="1" applyAlignment="1">
      <alignment vertical="center"/>
    </xf>
    <xf numFmtId="2" fontId="3" fillId="0" borderId="50" xfId="0" applyNumberFormat="1" applyFont="1" applyFill="1" applyBorder="1" applyAlignment="1">
      <alignment horizontal="center" vertical="center" wrapText="1"/>
    </xf>
    <xf numFmtId="169" fontId="0" fillId="0" borderId="45" xfId="0" applyNumberFormat="1" applyBorder="1"/>
    <xf numFmtId="166" fontId="3" fillId="0" borderId="48" xfId="1" applyNumberFormat="1" applyFont="1" applyFill="1" applyBorder="1" applyAlignment="1">
      <alignment horizontal="center" vertical="center"/>
    </xf>
    <xf numFmtId="1" fontId="3" fillId="0" borderId="50" xfId="0" applyNumberFormat="1" applyFont="1" applyFill="1" applyBorder="1" applyAlignment="1">
      <alignment horizontal="center" vertical="center" wrapText="1"/>
    </xf>
    <xf numFmtId="2" fontId="2" fillId="0" borderId="51" xfId="0" applyNumberFormat="1" applyFont="1" applyFill="1" applyBorder="1" applyAlignment="1">
      <alignment horizontal="center" vertical="center" wrapText="1"/>
    </xf>
    <xf numFmtId="2" fontId="3" fillId="0" borderId="52" xfId="0" applyNumberFormat="1" applyFont="1" applyFill="1" applyBorder="1" applyAlignment="1">
      <alignment horizontal="center" vertical="center" wrapText="1"/>
    </xf>
    <xf numFmtId="2" fontId="3" fillId="0" borderId="33" xfId="0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6" fontId="3" fillId="2" borderId="8" xfId="1" applyNumberFormat="1" applyFont="1" applyFill="1" applyBorder="1" applyAlignment="1">
      <alignment horizontal="center" vertical="center"/>
    </xf>
    <xf numFmtId="1" fontId="3" fillId="2" borderId="7" xfId="0" applyNumberFormat="1" applyFont="1" applyFill="1" applyBorder="1" applyAlignment="1">
      <alignment vertical="center" wrapText="1"/>
    </xf>
    <xf numFmtId="1" fontId="2" fillId="0" borderId="49" xfId="0" applyNumberFormat="1" applyFont="1" applyFill="1" applyBorder="1" applyAlignment="1">
      <alignment horizontal="center" vertical="center" wrapText="1"/>
    </xf>
    <xf numFmtId="49" fontId="2" fillId="0" borderId="47" xfId="0" applyNumberFormat="1" applyFont="1" applyFill="1" applyBorder="1" applyAlignment="1">
      <alignment horizontal="center" vertical="center" wrapText="1"/>
    </xf>
    <xf numFmtId="1" fontId="2" fillId="0" borderId="47" xfId="0" applyNumberFormat="1" applyFont="1" applyFill="1" applyBorder="1" applyAlignment="1">
      <alignment horizontal="center" vertical="center" wrapText="1"/>
    </xf>
    <xf numFmtId="49" fontId="2" fillId="0" borderId="53" xfId="0" applyNumberFormat="1" applyFont="1" applyFill="1" applyBorder="1" applyAlignment="1">
      <alignment horizontal="center" vertical="center" wrapText="1"/>
    </xf>
    <xf numFmtId="2" fontId="2" fillId="0" borderId="47" xfId="0" applyNumberFormat="1" applyFont="1" applyFill="1" applyBorder="1" applyAlignment="1">
      <alignment horizontal="center" vertical="center" wrapText="1"/>
    </xf>
    <xf numFmtId="1" fontId="2" fillId="0" borderId="48" xfId="0" applyNumberFormat="1" applyFont="1" applyFill="1" applyBorder="1" applyAlignment="1">
      <alignment horizontal="center" vertical="center" wrapText="1"/>
    </xf>
    <xf numFmtId="2" fontId="2" fillId="0" borderId="54" xfId="0" applyNumberFormat="1" applyFont="1" applyFill="1" applyBorder="1" applyAlignment="1">
      <alignment horizontal="center" vertical="center"/>
    </xf>
    <xf numFmtId="2" fontId="2" fillId="0" borderId="47" xfId="0" applyNumberFormat="1" applyFont="1" applyFill="1" applyBorder="1" applyAlignment="1">
      <alignment horizontal="center" vertical="center"/>
    </xf>
    <xf numFmtId="1" fontId="2" fillId="0" borderId="48" xfId="0" applyNumberFormat="1" applyFont="1" applyFill="1" applyBorder="1" applyAlignment="1">
      <alignment horizontal="center" vertical="center"/>
    </xf>
    <xf numFmtId="2" fontId="2" fillId="0" borderId="49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  <xf numFmtId="1" fontId="2" fillId="0" borderId="54" xfId="0" applyNumberFormat="1" applyFont="1" applyFill="1" applyBorder="1" applyAlignment="1">
      <alignment horizontal="center" vertical="center"/>
    </xf>
    <xf numFmtId="1" fontId="2" fillId="0" borderId="4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1" fontId="2" fillId="0" borderId="56" xfId="0" applyNumberFormat="1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C79"/>
  <sheetViews>
    <sheetView tabSelected="1" zoomScaleNormal="100" zoomScaleSheetLayoutView="8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G18" sqref="G18"/>
    </sheetView>
  </sheetViews>
  <sheetFormatPr defaultColWidth="7.5703125" defaultRowHeight="12.75" x14ac:dyDescent="0.2"/>
  <cols>
    <col min="1" max="1" width="5.7109375" style="2" customWidth="1"/>
    <col min="2" max="2" width="7.85546875" style="3" bestFit="1" customWidth="1"/>
    <col min="3" max="3" width="7.85546875" style="2" customWidth="1"/>
    <col min="4" max="4" width="10.7109375" style="3" customWidth="1"/>
    <col min="5" max="5" width="7" style="2" customWidth="1"/>
    <col min="6" max="6" width="7.28515625" style="2" customWidth="1"/>
    <col min="7" max="7" width="8.7109375" style="4" customWidth="1"/>
    <col min="8" max="8" width="8.7109375" style="2" customWidth="1"/>
    <col min="9" max="10" width="6.7109375" style="4" bestFit="1" customWidth="1"/>
    <col min="11" max="11" width="6.28515625" style="2" customWidth="1"/>
    <col min="12" max="13" width="7.140625" style="4" bestFit="1" customWidth="1"/>
    <col min="14" max="14" width="5.5703125" style="2" customWidth="1"/>
    <col min="15" max="15" width="6.7109375" style="4" bestFit="1" customWidth="1"/>
    <col min="16" max="16" width="7.28515625" style="4" bestFit="1" customWidth="1"/>
    <col min="17" max="17" width="6" style="2" customWidth="1"/>
    <col min="18" max="18" width="30.7109375" style="5" customWidth="1"/>
    <col min="19" max="19" width="10.7109375" style="2" customWidth="1"/>
    <col min="20" max="20" width="12.28515625" style="2" customWidth="1"/>
    <col min="21" max="21" width="8.7109375" style="2" customWidth="1"/>
    <col min="22" max="22" width="5.7109375" style="1" customWidth="1"/>
    <col min="23" max="23" width="8" style="1" hidden="1" customWidth="1"/>
    <col min="24" max="25" width="11.7109375" style="1" hidden="1" customWidth="1"/>
    <col min="26" max="26" width="7.85546875" style="3" hidden="1" customWidth="1"/>
    <col min="27" max="27" width="8.7109375" style="1" hidden="1" customWidth="1"/>
    <col min="28" max="28" width="15.7109375" style="1" customWidth="1"/>
    <col min="29" max="29" width="20.7109375" style="1" customWidth="1"/>
    <col min="30" max="16384" width="7.5703125" style="1"/>
  </cols>
  <sheetData>
    <row r="1" spans="1:29" ht="15" x14ac:dyDescent="0.2">
      <c r="A1" s="132" t="s">
        <v>123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57"/>
    </row>
    <row r="2" spans="1:29" ht="15" x14ac:dyDescent="0.2">
      <c r="A2" s="132" t="s">
        <v>36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57"/>
    </row>
    <row r="3" spans="1:29" ht="15" x14ac:dyDescent="0.2">
      <c r="A3" s="132" t="s">
        <v>73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57"/>
    </row>
    <row r="4" spans="1:29" ht="15" x14ac:dyDescent="0.2">
      <c r="A4" s="132" t="s">
        <v>130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57"/>
    </row>
    <row r="5" spans="1:29" ht="15.75" thickBo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</row>
    <row r="6" spans="1:29" ht="19.5" customHeight="1" x14ac:dyDescent="0.2">
      <c r="A6" s="135" t="s">
        <v>34</v>
      </c>
      <c r="B6" s="133" t="s">
        <v>42</v>
      </c>
      <c r="C6" s="137" t="s">
        <v>0</v>
      </c>
      <c r="D6" s="145" t="s">
        <v>12</v>
      </c>
      <c r="E6" s="135" t="s">
        <v>13</v>
      </c>
      <c r="F6" s="137" t="s">
        <v>14</v>
      </c>
      <c r="G6" s="147" t="s">
        <v>18</v>
      </c>
      <c r="H6" s="154" t="s">
        <v>15</v>
      </c>
      <c r="I6" s="151" t="s">
        <v>1</v>
      </c>
      <c r="J6" s="152"/>
      <c r="K6" s="153"/>
      <c r="L6" s="156" t="s">
        <v>10</v>
      </c>
      <c r="M6" s="152"/>
      <c r="N6" s="153"/>
      <c r="O6" s="156" t="s">
        <v>11</v>
      </c>
      <c r="P6" s="152"/>
      <c r="Q6" s="153"/>
      <c r="R6" s="149" t="s">
        <v>44</v>
      </c>
      <c r="S6" s="159" t="s">
        <v>37</v>
      </c>
      <c r="T6" s="160"/>
      <c r="U6" s="161"/>
      <c r="V6" s="157" t="s">
        <v>6</v>
      </c>
      <c r="W6" s="157" t="s">
        <v>35</v>
      </c>
      <c r="X6" s="162" t="s">
        <v>19</v>
      </c>
      <c r="Y6" s="163"/>
      <c r="Z6" s="133" t="s">
        <v>49</v>
      </c>
      <c r="AA6" s="143" t="s">
        <v>9</v>
      </c>
      <c r="AB6" s="139" t="s">
        <v>47</v>
      </c>
      <c r="AC6" s="141" t="s">
        <v>48</v>
      </c>
    </row>
    <row r="7" spans="1:29" ht="19.5" customHeight="1" thickBot="1" x14ac:dyDescent="0.25">
      <c r="A7" s="136"/>
      <c r="B7" s="134"/>
      <c r="C7" s="138"/>
      <c r="D7" s="146"/>
      <c r="E7" s="136"/>
      <c r="F7" s="138"/>
      <c r="G7" s="148"/>
      <c r="H7" s="155"/>
      <c r="I7" s="23" t="s">
        <v>2</v>
      </c>
      <c r="J7" s="24" t="s">
        <v>3</v>
      </c>
      <c r="K7" s="25" t="s">
        <v>4</v>
      </c>
      <c r="L7" s="26" t="s">
        <v>2</v>
      </c>
      <c r="M7" s="24" t="s">
        <v>3</v>
      </c>
      <c r="N7" s="25" t="s">
        <v>4</v>
      </c>
      <c r="O7" s="26" t="s">
        <v>2</v>
      </c>
      <c r="P7" s="24" t="s">
        <v>3</v>
      </c>
      <c r="Q7" s="25" t="s">
        <v>4</v>
      </c>
      <c r="R7" s="150"/>
      <c r="S7" s="60" t="s">
        <v>7</v>
      </c>
      <c r="T7" s="61" t="s">
        <v>8</v>
      </c>
      <c r="U7" s="25" t="s">
        <v>5</v>
      </c>
      <c r="V7" s="158"/>
      <c r="W7" s="158"/>
      <c r="X7" s="45" t="s">
        <v>16</v>
      </c>
      <c r="Y7" s="46" t="s">
        <v>17</v>
      </c>
      <c r="Z7" s="134"/>
      <c r="AA7" s="144"/>
      <c r="AB7" s="140"/>
      <c r="AC7" s="142"/>
    </row>
    <row r="8" spans="1:29" x14ac:dyDescent="0.2">
      <c r="A8" s="28">
        <v>0</v>
      </c>
      <c r="B8" s="29" t="s">
        <v>140</v>
      </c>
      <c r="C8" s="29" t="s">
        <v>135</v>
      </c>
      <c r="D8" s="62"/>
      <c r="E8" s="30"/>
      <c r="F8" s="43">
        <v>0</v>
      </c>
      <c r="G8" s="63">
        <v>0</v>
      </c>
      <c r="H8" s="64">
        <f>(ROUND(388,1)+ROUND(E9,1))/2</f>
        <v>226.35</v>
      </c>
      <c r="I8" s="65">
        <v>0</v>
      </c>
      <c r="J8" s="63">
        <f t="shared" ref="J8" si="0">E9</f>
        <v>64.7</v>
      </c>
      <c r="K8" s="64">
        <f t="shared" ref="K8" si="1">ROUND(I8,1)+ROUND(J8,1)</f>
        <v>64.7</v>
      </c>
      <c r="L8" s="65">
        <v>0</v>
      </c>
      <c r="M8" s="63">
        <f>E9/2+2649*(U8+V8+W8-U10-V10-W10)/(0.976*E9)</f>
        <v>-138.46039539361999</v>
      </c>
      <c r="N8" s="64">
        <f t="shared" ref="N8" si="2">L8+M8</f>
        <v>-138.46039539361999</v>
      </c>
      <c r="O8" s="65">
        <v>0</v>
      </c>
      <c r="P8" s="63">
        <f>E9/2+1794*(U8+V8+W8-U10-V10-W10)/(0.976*E9)</f>
        <v>-83.329067322066521</v>
      </c>
      <c r="Q8" s="64">
        <f t="shared" ref="Q8" si="3">O8+P8</f>
        <v>-83.329067322066521</v>
      </c>
      <c r="R8" s="76" t="s">
        <v>135</v>
      </c>
      <c r="S8" s="66">
        <v>670651.90489999996</v>
      </c>
      <c r="T8" s="66">
        <v>1071451.3932</v>
      </c>
      <c r="U8" s="67">
        <v>27.680199999999999</v>
      </c>
      <c r="V8" s="125">
        <v>-5.88</v>
      </c>
      <c r="W8" s="69"/>
      <c r="X8" s="35"/>
      <c r="Y8" s="48"/>
      <c r="Z8" s="29"/>
      <c r="AA8" s="68" t="str">
        <f>IF(OR(O8&lt;-600,P8&lt;-600,Q8&lt;-1000,O8&gt;600,P8&gt;600,Q8&gt;1000),"Check","Ok")</f>
        <v>Ok</v>
      </c>
      <c r="AB8" s="80"/>
      <c r="AC8" s="81"/>
    </row>
    <row r="9" spans="1:29" x14ac:dyDescent="0.2">
      <c r="A9" s="165"/>
      <c r="B9" s="166"/>
      <c r="C9" s="166"/>
      <c r="D9" s="167"/>
      <c r="E9" s="168">
        <f>ROUND(SQRT((S8-S10)^2+(T8-T10)^2),1)</f>
        <v>64.7</v>
      </c>
      <c r="F9" s="169"/>
      <c r="G9" s="170"/>
      <c r="H9" s="171"/>
      <c r="I9" s="172"/>
      <c r="J9" s="170"/>
      <c r="K9" s="171"/>
      <c r="L9" s="172"/>
      <c r="M9" s="170"/>
      <c r="N9" s="171"/>
      <c r="O9" s="172"/>
      <c r="P9" s="170"/>
      <c r="Q9" s="171"/>
      <c r="R9" s="173"/>
      <c r="S9" s="174"/>
      <c r="T9" s="174"/>
      <c r="U9" s="175"/>
      <c r="V9" s="176"/>
      <c r="W9" s="177"/>
      <c r="X9" s="178"/>
      <c r="Y9" s="179"/>
      <c r="Z9" s="166"/>
      <c r="AA9" s="177"/>
      <c r="AB9" s="180"/>
      <c r="AC9" s="181"/>
    </row>
    <row r="10" spans="1:29" ht="21" x14ac:dyDescent="0.2">
      <c r="A10" s="186">
        <v>1</v>
      </c>
      <c r="B10" s="37" t="s">
        <v>138</v>
      </c>
      <c r="C10" s="37" t="s">
        <v>133</v>
      </c>
      <c r="D10" s="38" t="s">
        <v>139</v>
      </c>
      <c r="E10" s="183"/>
      <c r="F10" s="73">
        <f>SUM(E9)</f>
        <v>64.7</v>
      </c>
      <c r="G10" s="6">
        <f t="shared" ref="G10" si="4">G8+E9</f>
        <v>64.7</v>
      </c>
      <c r="H10" s="7">
        <f t="shared" ref="H10:H12" si="5">(ROUND(E9,1)+ROUND(E11,1))/2</f>
        <v>48.2</v>
      </c>
      <c r="I10" s="8">
        <f t="shared" ref="I10:I12" si="6">J8</f>
        <v>64.7</v>
      </c>
      <c r="J10" s="6">
        <f t="shared" ref="J10" si="7">E11</f>
        <v>31.7</v>
      </c>
      <c r="K10" s="7">
        <f t="shared" ref="K10" si="8">ROUND(I10,1)+ROUND(J10,1)</f>
        <v>96.4</v>
      </c>
      <c r="L10" s="8">
        <f>E9/2-2649*(U8+V8+W8-U10-V10-W10)/(0.976*E9)</f>
        <v>203.16039539361998</v>
      </c>
      <c r="M10" s="6">
        <f>E11/2+2649*(U10+V10+W10-U12-V12-W12)/(0.976*E11)</f>
        <v>15.850000000000037</v>
      </c>
      <c r="N10" s="7">
        <f t="shared" ref="N10" si="9">L10+M10</f>
        <v>219.01039539362</v>
      </c>
      <c r="O10" s="8">
        <f>E9/2-1794*(U8+V8+W8-U10-V10-W10)/(0.976*E9)</f>
        <v>148.02906732206654</v>
      </c>
      <c r="P10" s="6">
        <f>E11/2+1794*(U10+V10+W10-U12-V12-W12)/(0.976*E11)</f>
        <v>15.850000000000025</v>
      </c>
      <c r="Q10" s="7">
        <f t="shared" ref="Q10" si="10">O10+P10</f>
        <v>163.87906732206656</v>
      </c>
      <c r="R10" s="77" t="s">
        <v>137</v>
      </c>
      <c r="S10" s="184">
        <v>670598.68539999996</v>
      </c>
      <c r="T10" s="184">
        <v>1071414.5978000001</v>
      </c>
      <c r="U10" s="185">
        <v>24.888999999999999</v>
      </c>
      <c r="V10" s="40">
        <f>4.5-3.517</f>
        <v>0.9830000000000001</v>
      </c>
      <c r="W10" s="84"/>
      <c r="X10" s="85"/>
      <c r="Y10" s="86"/>
      <c r="Z10" s="37"/>
      <c r="AA10" s="88" t="str">
        <f>IF(OR(O10&lt;-600,P10&lt;-600,Q10&lt;-1000,O10&gt;600,P10&gt;600,Q10&gt;1000),"Check","Ok")</f>
        <v>Ok</v>
      </c>
      <c r="AB10" s="82"/>
      <c r="AC10" s="83"/>
    </row>
    <row r="11" spans="1:29" ht="21" x14ac:dyDescent="0.2">
      <c r="A11" s="20"/>
      <c r="B11" s="27"/>
      <c r="C11" s="27"/>
      <c r="D11" s="21"/>
      <c r="E11" s="53">
        <f>ROUND(SQRT((S10-S12)^2+(T10-T12)^2),1)</f>
        <v>31.7</v>
      </c>
      <c r="F11" s="47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31" t="s">
        <v>92</v>
      </c>
      <c r="S11" s="50"/>
      <c r="T11" s="50"/>
      <c r="U11" s="18"/>
      <c r="V11" s="9"/>
      <c r="W11" s="22"/>
      <c r="X11" s="36"/>
      <c r="Y11" s="49"/>
      <c r="Z11" s="27"/>
      <c r="AA11" s="22"/>
      <c r="AB11" s="78"/>
      <c r="AC11" s="79"/>
    </row>
    <row r="12" spans="1:29" ht="21" x14ac:dyDescent="0.2">
      <c r="A12" s="12">
        <f>A10+1</f>
        <v>2</v>
      </c>
      <c r="B12" s="89">
        <v>229</v>
      </c>
      <c r="C12" s="37" t="s">
        <v>133</v>
      </c>
      <c r="D12" s="38" t="s">
        <v>146</v>
      </c>
      <c r="E12" s="55"/>
      <c r="F12" s="73">
        <f>SUM(E11)</f>
        <v>31.7</v>
      </c>
      <c r="G12" s="6">
        <f t="shared" ref="G12" si="11">G10+E11</f>
        <v>96.4</v>
      </c>
      <c r="H12" s="7">
        <f t="shared" ref="H12" si="12">(ROUND(E11,1)+ROUND(E13,1))/2</f>
        <v>15.85</v>
      </c>
      <c r="I12" s="8">
        <f t="shared" ref="I12" si="13">J10</f>
        <v>31.7</v>
      </c>
      <c r="J12" s="6">
        <v>175.1</v>
      </c>
      <c r="K12" s="7">
        <f t="shared" ref="K12" si="14">ROUND(I12,1)+ROUND(J12,1)</f>
        <v>206.79999999999998</v>
      </c>
      <c r="L12" s="8">
        <f>E11/2-2649*(U10+V10+W10-U12-V12-W12)/(0.976*E11)</f>
        <v>15.849999999999962</v>
      </c>
      <c r="M12" s="6">
        <v>-3.7</v>
      </c>
      <c r="N12" s="7">
        <f t="shared" ref="N12" si="15">L12+M12</f>
        <v>12.149999999999963</v>
      </c>
      <c r="O12" s="8">
        <f>E11/2-1794*(U10+V10+W10-U12-V12-W12)/(0.976*E11)</f>
        <v>15.849999999999975</v>
      </c>
      <c r="P12" s="6">
        <v>25.7</v>
      </c>
      <c r="Q12" s="7">
        <f t="shared" ref="Q12" si="16">O12+P12</f>
        <v>41.549999999999976</v>
      </c>
      <c r="R12" s="77" t="s">
        <v>132</v>
      </c>
      <c r="S12" s="184">
        <v>670582.571</v>
      </c>
      <c r="T12" s="184">
        <v>1071441.912</v>
      </c>
      <c r="U12" s="185">
        <v>24.888999999999999</v>
      </c>
      <c r="V12" s="40">
        <f>4.5-3.517</f>
        <v>0.9830000000000001</v>
      </c>
      <c r="W12" s="84"/>
      <c r="X12" s="85"/>
      <c r="Y12" s="86"/>
      <c r="Z12" s="37"/>
      <c r="AA12" s="52" t="str">
        <f>IF(OR(O12&lt;-600,P12&lt;-600,Q12&lt;-1000,O12&gt;600,P12&gt;600,Q12&gt;1000),"Check","Ok")</f>
        <v>Ok</v>
      </c>
      <c r="AB12" s="82"/>
      <c r="AC12" s="83"/>
    </row>
    <row r="13" spans="1:29" ht="13.5" thickBot="1" x14ac:dyDescent="0.25">
      <c r="A13" s="187"/>
      <c r="B13" s="188"/>
      <c r="C13" s="189"/>
      <c r="D13" s="190"/>
      <c r="E13" s="187"/>
      <c r="F13" s="189"/>
      <c r="G13" s="191"/>
      <c r="H13" s="192"/>
      <c r="I13" s="193"/>
      <c r="J13" s="194"/>
      <c r="K13" s="195"/>
      <c r="L13" s="196"/>
      <c r="M13" s="194"/>
      <c r="N13" s="195"/>
      <c r="O13" s="196"/>
      <c r="P13" s="194"/>
      <c r="Q13" s="195"/>
      <c r="R13" s="197"/>
      <c r="S13" s="198"/>
      <c r="T13" s="199"/>
      <c r="U13" s="195"/>
      <c r="V13" s="200"/>
      <c r="W13" s="201"/>
      <c r="X13" s="202"/>
      <c r="Y13" s="192"/>
      <c r="Z13" s="188"/>
      <c r="AA13" s="203"/>
      <c r="AB13" s="204"/>
      <c r="AC13" s="205"/>
    </row>
    <row r="14" spans="1:29" x14ac:dyDescent="0.2">
      <c r="A14" s="28">
        <v>0</v>
      </c>
      <c r="B14" s="29" t="s">
        <v>136</v>
      </c>
      <c r="C14" s="29" t="s">
        <v>135</v>
      </c>
      <c r="D14" s="62"/>
      <c r="E14" s="30"/>
      <c r="F14" s="43">
        <v>0</v>
      </c>
      <c r="G14" s="63">
        <v>0</v>
      </c>
      <c r="H14" s="64">
        <f>(ROUND(388,1)+ROUND(E15,1))/2</f>
        <v>229.05</v>
      </c>
      <c r="I14" s="65">
        <v>0</v>
      </c>
      <c r="J14" s="63">
        <f t="shared" ref="J14" si="17">E15</f>
        <v>70.099999999999994</v>
      </c>
      <c r="K14" s="64">
        <f t="shared" ref="K14" si="18">ROUND(I14,1)+ROUND(J14,1)</f>
        <v>70.099999999999994</v>
      </c>
      <c r="L14" s="65">
        <v>0</v>
      </c>
      <c r="M14" s="63">
        <f>E15/2+2649*(U14+V14+W14-U16-V16-W16)/(0.976*E15)</f>
        <v>-122.6023906129417</v>
      </c>
      <c r="N14" s="64">
        <f t="shared" ref="N14" si="19">L14+M14</f>
        <v>-122.6023906129417</v>
      </c>
      <c r="O14" s="65">
        <v>0</v>
      </c>
      <c r="P14" s="63">
        <f>E15/2+1794*(U14+V14+W14-U16-V16-W16)/(0.976*E15)</f>
        <v>-71.717983676714766</v>
      </c>
      <c r="Q14" s="64">
        <f t="shared" ref="Q14" si="20">O14+P14</f>
        <v>-71.717983676714766</v>
      </c>
      <c r="R14" s="76" t="s">
        <v>135</v>
      </c>
      <c r="S14" s="66">
        <v>670646.54280000005</v>
      </c>
      <c r="T14" s="66">
        <v>1071470.6703000001</v>
      </c>
      <c r="U14" s="67">
        <v>27.680199999999999</v>
      </c>
      <c r="V14" s="125">
        <v>-5.88</v>
      </c>
      <c r="W14" s="69"/>
      <c r="X14" s="35"/>
      <c r="Y14" s="48"/>
      <c r="Z14" s="29"/>
      <c r="AA14" s="68" t="str">
        <f>IF(OR(O14&lt;-600,P14&lt;-600,Q14&lt;-1000,O14&gt;600,P14&gt;600,Q14&gt;1000),"Check","Ok")</f>
        <v>Ok</v>
      </c>
      <c r="AB14" s="80"/>
      <c r="AC14" s="81"/>
    </row>
    <row r="15" spans="1:29" x14ac:dyDescent="0.2">
      <c r="A15" s="165"/>
      <c r="B15" s="166"/>
      <c r="C15" s="166"/>
      <c r="D15" s="167"/>
      <c r="E15" s="168">
        <f>ROUND(SQRT((S14-S16)^2+(T14-T16)^2),1)</f>
        <v>70.099999999999994</v>
      </c>
      <c r="F15" s="169"/>
      <c r="G15" s="170"/>
      <c r="H15" s="171"/>
      <c r="I15" s="172"/>
      <c r="J15" s="170"/>
      <c r="K15" s="171"/>
      <c r="L15" s="172"/>
      <c r="M15" s="170"/>
      <c r="N15" s="171"/>
      <c r="O15" s="172"/>
      <c r="P15" s="170"/>
      <c r="Q15" s="171"/>
      <c r="R15" s="173" t="s">
        <v>142</v>
      </c>
      <c r="S15" s="174"/>
      <c r="T15" s="174"/>
      <c r="U15" s="175"/>
      <c r="V15" s="176"/>
      <c r="W15" s="177"/>
      <c r="X15" s="178"/>
      <c r="Y15" s="179"/>
      <c r="Z15" s="166"/>
      <c r="AA15" s="177"/>
      <c r="AB15" s="180"/>
      <c r="AC15" s="181"/>
    </row>
    <row r="16" spans="1:29" ht="21" x14ac:dyDescent="0.2">
      <c r="A16" s="186">
        <v>2</v>
      </c>
      <c r="B16" s="37" t="s">
        <v>72</v>
      </c>
      <c r="C16" s="37" t="s">
        <v>133</v>
      </c>
      <c r="D16" s="38" t="s">
        <v>145</v>
      </c>
      <c r="E16" s="183"/>
      <c r="F16" s="73">
        <f>SUM(E15)</f>
        <v>70.099999999999994</v>
      </c>
      <c r="G16" s="6">
        <f t="shared" ref="G16:G18" si="21">G14+E15</f>
        <v>70.099999999999994</v>
      </c>
      <c r="H16" s="7">
        <f t="shared" ref="H16:H18" si="22">(ROUND(E15,1)+ROUND(E17,1))/2</f>
        <v>122.6</v>
      </c>
      <c r="I16" s="8">
        <f t="shared" ref="I16:I18" si="23">J14</f>
        <v>70.099999999999994</v>
      </c>
      <c r="J16" s="6">
        <f t="shared" ref="J16" si="24">E17</f>
        <v>175.1</v>
      </c>
      <c r="K16" s="7">
        <f t="shared" ref="K16" si="25">ROUND(I16,1)+ROUND(J16,1)</f>
        <v>245.2</v>
      </c>
      <c r="L16" s="8">
        <f>E15/2-2649*(U14+V14+W14-U16-V16-W16)/(0.976*E15)</f>
        <v>192.70239061294171</v>
      </c>
      <c r="M16" s="6">
        <f>E17/2+2649*(U16+V16+W16-U18-V18-W18)/(0.976*E17)</f>
        <v>-3.7325048450066021</v>
      </c>
      <c r="N16" s="7">
        <f t="shared" ref="N16" si="26">L16+M16</f>
        <v>188.96988576793512</v>
      </c>
      <c r="O16" s="8">
        <f>E15/2-1794*(U14+V14+W14-U16-V16-W16)/(0.976*E15)</f>
        <v>141.81798367671476</v>
      </c>
      <c r="P16" s="6">
        <f>E17/2+1794*(U16+V16+W16-U18-V18-W18)/(0.976*E17)</f>
        <v>25.730138281637657</v>
      </c>
      <c r="Q16" s="7">
        <f t="shared" ref="Q16" si="27">O16+P16</f>
        <v>167.54812195835243</v>
      </c>
      <c r="R16" s="77" t="s">
        <v>137</v>
      </c>
      <c r="S16" s="184">
        <v>670582.571</v>
      </c>
      <c r="T16" s="184">
        <v>1071441.912</v>
      </c>
      <c r="U16" s="185">
        <v>24.888999999999999</v>
      </c>
      <c r="V16" s="40">
        <f>4.5-3.517</f>
        <v>0.9830000000000001</v>
      </c>
      <c r="W16" s="84"/>
      <c r="X16" s="85"/>
      <c r="Y16" s="86"/>
      <c r="Z16" s="37"/>
      <c r="AA16" s="88" t="str">
        <f>IF(OR(O16&lt;-600,P16&lt;-600,Q16&lt;-1000,O16&gt;600,P16&gt;600,Q16&gt;1000),"Check","Ok")</f>
        <v>Ok</v>
      </c>
      <c r="AB16" s="82"/>
      <c r="AC16" s="83"/>
    </row>
    <row r="17" spans="1:29" ht="21" x14ac:dyDescent="0.2">
      <c r="A17" s="20"/>
      <c r="B17" s="27"/>
      <c r="C17" s="27"/>
      <c r="D17" s="21"/>
      <c r="E17" s="53">
        <f>ROUND(SQRT((S16-S18)^2+(T16-T18)^2),1)</f>
        <v>175.1</v>
      </c>
      <c r="F17" s="47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31" t="s">
        <v>92</v>
      </c>
      <c r="S17" s="50"/>
      <c r="T17" s="50"/>
      <c r="U17" s="18"/>
      <c r="V17" s="9"/>
      <c r="W17" s="22"/>
      <c r="X17" s="36"/>
      <c r="Y17" s="49"/>
      <c r="Z17" s="27"/>
      <c r="AA17" s="22"/>
      <c r="AB17" s="78"/>
      <c r="AC17" s="79"/>
    </row>
    <row r="18" spans="1:29" x14ac:dyDescent="0.15">
      <c r="A18" s="12">
        <f>A16+1</f>
        <v>3</v>
      </c>
      <c r="B18" s="89">
        <v>228</v>
      </c>
      <c r="C18" s="37" t="s">
        <v>126</v>
      </c>
      <c r="D18" s="38" t="s">
        <v>74</v>
      </c>
      <c r="E18" s="55"/>
      <c r="F18" s="73">
        <f>SUM(E17)</f>
        <v>175.1</v>
      </c>
      <c r="G18" s="6">
        <f t="shared" si="21"/>
        <v>245.2</v>
      </c>
      <c r="H18" s="19">
        <f t="shared" si="22"/>
        <v>176.55</v>
      </c>
      <c r="I18" s="8">
        <f t="shared" si="23"/>
        <v>175.1</v>
      </c>
      <c r="J18" s="6">
        <f t="shared" ref="J18" si="28">E19</f>
        <v>178</v>
      </c>
      <c r="K18" s="7">
        <f t="shared" ref="K18" si="29">ROUND(I18,1)+ROUND(J18,1)</f>
        <v>353.1</v>
      </c>
      <c r="L18" s="8">
        <f>E17/2-2649*(U16+V16+W16-U18-V18-W18)/(0.976*E17)</f>
        <v>178.83250484500661</v>
      </c>
      <c r="M18" s="6">
        <f>E19/2+2649*(U18+V18+W18-U20-V20-W20)/(0.976*E19)</f>
        <v>44.491164348867187</v>
      </c>
      <c r="N18" s="7">
        <f t="shared" ref="N18" si="30">L18+M18</f>
        <v>223.3236691938738</v>
      </c>
      <c r="O18" s="8">
        <f>E17/2-1794*(U16+V16+W16-U18-V18-W18)/(0.976*E17)</f>
        <v>149.36986171836233</v>
      </c>
      <c r="P18" s="6">
        <f>E19/2+1794*(U18+V18+W18-U20-V20-W20)/(0.976*E19)</f>
        <v>58.856983330263397</v>
      </c>
      <c r="Q18" s="7">
        <f t="shared" ref="Q18" si="31">O18+P18</f>
        <v>208.22684504862573</v>
      </c>
      <c r="R18" s="77" t="s">
        <v>132</v>
      </c>
      <c r="S18" s="51">
        <v>670643.08499999996</v>
      </c>
      <c r="T18" s="51">
        <v>1071606.2760000001</v>
      </c>
      <c r="U18" s="13">
        <v>28.760999999999999</v>
      </c>
      <c r="V18" s="39">
        <v>3</v>
      </c>
      <c r="W18" s="84"/>
      <c r="X18" s="85"/>
      <c r="Y18" s="86"/>
      <c r="Z18" s="37"/>
      <c r="AA18" s="52" t="str">
        <f>IF(OR(O18&lt;-600,P18&lt;-600,Q18&lt;-1000,O18&gt;600,P18&gt;600,Q18&gt;1000),"Check","Ok")</f>
        <v>Ok</v>
      </c>
      <c r="AB18" s="82"/>
      <c r="AC18" s="83"/>
    </row>
    <row r="19" spans="1:29" x14ac:dyDescent="0.15">
      <c r="A19" s="20"/>
      <c r="B19" s="27"/>
      <c r="C19" s="27"/>
      <c r="D19" s="34"/>
      <c r="E19" s="53">
        <f t="shared" ref="E19:E57" si="32">ROUND(SQRT((S18-S20)^2+(T18-T20)^2),1)</f>
        <v>178</v>
      </c>
      <c r="F19" s="33"/>
      <c r="G19" s="15"/>
      <c r="H19" s="16"/>
      <c r="I19" s="17"/>
      <c r="J19" s="15"/>
      <c r="K19" s="16"/>
      <c r="L19" s="17"/>
      <c r="M19" s="15"/>
      <c r="N19" s="16"/>
      <c r="O19" s="17"/>
      <c r="P19" s="15"/>
      <c r="Q19" s="16"/>
      <c r="R19" s="31" t="s">
        <v>93</v>
      </c>
      <c r="S19" s="56"/>
      <c r="T19" s="56"/>
      <c r="U19" s="18"/>
      <c r="V19" s="9"/>
      <c r="W19" s="22"/>
      <c r="X19" s="36"/>
      <c r="Y19" s="49"/>
      <c r="Z19" s="27"/>
      <c r="AA19" s="22"/>
      <c r="AB19" s="78"/>
      <c r="AC19" s="79"/>
    </row>
    <row r="20" spans="1:29" x14ac:dyDescent="0.15">
      <c r="A20" s="12">
        <f t="shared" ref="A20" si="33">A18+1</f>
        <v>4</v>
      </c>
      <c r="B20" s="37" t="s">
        <v>71</v>
      </c>
      <c r="C20" s="37" t="s">
        <v>40</v>
      </c>
      <c r="D20" s="38" t="s">
        <v>75</v>
      </c>
      <c r="E20" s="55"/>
      <c r="F20" s="73">
        <f>SUM(E19)</f>
        <v>178</v>
      </c>
      <c r="G20" s="74">
        <f t="shared" ref="G20" si="34">G18+E19</f>
        <v>423.2</v>
      </c>
      <c r="H20" s="19">
        <f t="shared" ref="H20" si="35">(ROUND(E19,1)+ROUND(E21,1))/2</f>
        <v>184.4</v>
      </c>
      <c r="I20" s="75">
        <f t="shared" ref="I20" si="36">J18</f>
        <v>178</v>
      </c>
      <c r="J20" s="74">
        <f t="shared" ref="J20" si="37">E21</f>
        <v>190.8</v>
      </c>
      <c r="K20" s="19">
        <f t="shared" ref="K20" si="38">ROUND(I20,1)+ROUND(J20,1)</f>
        <v>368.8</v>
      </c>
      <c r="L20" s="75">
        <f t="shared" ref="L20" si="39">E19/2-2649*(U18+V18+W18-U20-V20-W20)/(0.976*E19)</f>
        <v>133.50883565113281</v>
      </c>
      <c r="M20" s="74">
        <f t="shared" ref="M20" si="40">E21/2+2649*(U20+V20+W20-U22-V22-W22)/(0.976*E21)</f>
        <v>6.9628705278895069</v>
      </c>
      <c r="N20" s="19">
        <f t="shared" ref="N20" si="41">L20+M20</f>
        <v>140.47170617902231</v>
      </c>
      <c r="O20" s="75">
        <f t="shared" ref="O20" si="42">E19/2-1794*(U18+V18+W18-U20-V20-W20)/(0.976*E19)</f>
        <v>119.1430166697366</v>
      </c>
      <c r="P20" s="74">
        <f t="shared" ref="P20" si="43">E21/2+1794*(U20+V20+W20-U22-V22-W22)/(0.976*E21)</f>
        <v>35.507130889782474</v>
      </c>
      <c r="Q20" s="19">
        <f t="shared" ref="Q20" si="44">O20+P20</f>
        <v>154.65014755951907</v>
      </c>
      <c r="R20" s="40"/>
      <c r="S20" s="51">
        <v>670671.45299999998</v>
      </c>
      <c r="T20" s="51">
        <v>1071782.024</v>
      </c>
      <c r="U20" s="13">
        <v>34.68</v>
      </c>
      <c r="V20" s="39">
        <v>0</v>
      </c>
      <c r="W20" s="84"/>
      <c r="X20" s="85"/>
      <c r="Y20" s="86"/>
      <c r="Z20" s="37"/>
      <c r="AA20" s="52" t="str">
        <f>IF(OR(O20&lt;-600,P20&lt;-600,Q20&lt;-1000,O20&gt;600,P20&gt;600,Q20&gt;1000),"Check","Ok")</f>
        <v>Ok</v>
      </c>
      <c r="AB20" s="82"/>
      <c r="AC20" s="83"/>
    </row>
    <row r="21" spans="1:29" x14ac:dyDescent="0.15">
      <c r="A21" s="20"/>
      <c r="B21" s="27"/>
      <c r="C21" s="27"/>
      <c r="D21" s="34"/>
      <c r="E21" s="53">
        <f t="shared" si="32"/>
        <v>190.8</v>
      </c>
      <c r="F21" s="33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31" t="s">
        <v>94</v>
      </c>
      <c r="S21" s="56"/>
      <c r="T21" s="56"/>
      <c r="U21" s="18"/>
      <c r="V21" s="9"/>
      <c r="W21" s="22"/>
      <c r="X21" s="36"/>
      <c r="Y21" s="49"/>
      <c r="Z21" s="27"/>
      <c r="AA21" s="22"/>
      <c r="AB21" s="78"/>
      <c r="AC21" s="79"/>
    </row>
    <row r="22" spans="1:29" x14ac:dyDescent="0.15">
      <c r="A22" s="14">
        <f t="shared" ref="A22:A54" si="45">A20+1</f>
        <v>5</v>
      </c>
      <c r="B22" s="87">
        <v>226</v>
      </c>
      <c r="C22" s="27" t="s">
        <v>40</v>
      </c>
      <c r="D22" s="34"/>
      <c r="E22" s="54"/>
      <c r="F22" s="44"/>
      <c r="G22" s="70">
        <f t="shared" ref="G22:G58" si="46">G20+E21</f>
        <v>614</v>
      </c>
      <c r="H22" s="11">
        <f t="shared" ref="H22" si="47">(ROUND(E21,1)+ROUND(E23,1))/2</f>
        <v>172.2</v>
      </c>
      <c r="I22" s="71">
        <f t="shared" ref="I22" si="48">J20</f>
        <v>190.8</v>
      </c>
      <c r="J22" s="70">
        <f t="shared" ref="J22" si="49">E23</f>
        <v>153.6</v>
      </c>
      <c r="K22" s="11">
        <f t="shared" ref="K22" si="50">ROUND(I22,1)+ROUND(J22,1)</f>
        <v>344.4</v>
      </c>
      <c r="L22" s="71">
        <f t="shared" ref="L22" si="51">E21/2-2649*(U20+V20+W20-U22-V22-W22)/(0.976*E21)</f>
        <v>183.83712947211052</v>
      </c>
      <c r="M22" s="70">
        <f t="shared" ref="M22" si="52">E23/2+2649*(U22+V22+W22-U24-V24-W24)/(0.976*E23)</f>
        <v>-333.51920386142416</v>
      </c>
      <c r="N22" s="11">
        <f t="shared" ref="N22" si="53">L22+M22</f>
        <v>-149.68207438931364</v>
      </c>
      <c r="O22" s="71">
        <f t="shared" ref="O22" si="54">E21/2-1794*(U20+V20+W20-U22-V22-W22)/(0.976*E21)</f>
        <v>155.29286911021754</v>
      </c>
      <c r="P22" s="70">
        <f t="shared" ref="P22" si="55">E23/2+1794*(U22+V22+W22-U24-V24-W24)/(0.976*E23)</f>
        <v>-201.08322073514341</v>
      </c>
      <c r="Q22" s="11">
        <f t="shared" ref="Q22" si="56">O22+P22</f>
        <v>-45.790351624925876</v>
      </c>
      <c r="R22" s="31"/>
      <c r="S22" s="56">
        <v>670694.83799999999</v>
      </c>
      <c r="T22" s="56">
        <v>1071971.4129999999</v>
      </c>
      <c r="U22" s="18">
        <v>40.896999999999998</v>
      </c>
      <c r="V22" s="9">
        <v>0</v>
      </c>
      <c r="W22" s="59"/>
      <c r="X22" s="36"/>
      <c r="Y22" s="49"/>
      <c r="Z22" s="27"/>
      <c r="AA22" s="10" t="str">
        <f>IF(OR(O22&lt;-600,P22&lt;-600,Q22&lt;-1000,O22&gt;600,P22&gt;600,Q22&gt;1000),"Check","Ok")</f>
        <v>Ok</v>
      </c>
      <c r="AB22" s="78"/>
      <c r="AC22" s="79"/>
    </row>
    <row r="23" spans="1:29" x14ac:dyDescent="0.15">
      <c r="A23" s="20"/>
      <c r="B23" s="27"/>
      <c r="C23" s="27"/>
      <c r="D23" s="34"/>
      <c r="E23" s="53">
        <f t="shared" si="32"/>
        <v>153.6</v>
      </c>
      <c r="F23" s="33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31" t="s">
        <v>95</v>
      </c>
      <c r="S23" s="56"/>
      <c r="T23" s="56"/>
      <c r="U23" s="18"/>
      <c r="V23" s="9"/>
      <c r="W23" s="22"/>
      <c r="X23" s="36"/>
      <c r="Y23" s="49"/>
      <c r="Z23" s="27"/>
      <c r="AA23" s="22"/>
      <c r="AB23" s="78"/>
      <c r="AC23" s="79"/>
    </row>
    <row r="24" spans="1:29" ht="31.5" x14ac:dyDescent="0.15">
      <c r="A24" s="12">
        <f t="shared" si="45"/>
        <v>6</v>
      </c>
      <c r="B24" s="37" t="s">
        <v>70</v>
      </c>
      <c r="C24" s="37" t="s">
        <v>81</v>
      </c>
      <c r="D24" s="38" t="s">
        <v>53</v>
      </c>
      <c r="E24" s="55"/>
      <c r="F24" s="73">
        <f>SUM(E21:E23)</f>
        <v>344.4</v>
      </c>
      <c r="G24" s="74">
        <f t="shared" si="46"/>
        <v>767.6</v>
      </c>
      <c r="H24" s="19">
        <f t="shared" ref="H24" si="57">(ROUND(E23,1)+ROUND(E25,1))/2</f>
        <v>189.6</v>
      </c>
      <c r="I24" s="75">
        <f t="shared" ref="I24" si="58">J22</f>
        <v>153.6</v>
      </c>
      <c r="J24" s="74">
        <f t="shared" ref="J24" si="59">E25</f>
        <v>225.6</v>
      </c>
      <c r="K24" s="19">
        <f t="shared" ref="K24" si="60">ROUND(I24,1)+ROUND(J24,1)</f>
        <v>379.2</v>
      </c>
      <c r="L24" s="75">
        <f t="shared" ref="L24" si="61">E23/2-2649*(U22+V22+W22-U24-V24-W24)/(0.976*E23)</f>
        <v>487.11920386142418</v>
      </c>
      <c r="M24" s="74">
        <f t="shared" ref="M24" si="62">E25/2+2649*(U24+V24+W24-U26-V26-W26)/(0.976*E25)</f>
        <v>-189.62923242936876</v>
      </c>
      <c r="N24" s="19">
        <f t="shared" ref="N24" si="63">L24+M24</f>
        <v>297.48997143205543</v>
      </c>
      <c r="O24" s="75">
        <f t="shared" ref="O24" si="64">E23/2-1794*(U22+V22+W22-U24-V24-W24)/(0.976*E23)</f>
        <v>354.68322073514344</v>
      </c>
      <c r="P24" s="74">
        <f t="shared" ref="P24" si="65">E25/2+1794*(U24+V24+W24-U26-V26-W26)/(0.976*E25)</f>
        <v>-92.016173264736707</v>
      </c>
      <c r="Q24" s="19">
        <f t="shared" ref="Q24" si="66">O24+P24</f>
        <v>262.66704747040671</v>
      </c>
      <c r="R24" s="77" t="s">
        <v>114</v>
      </c>
      <c r="S24" s="51">
        <v>670713.65800000005</v>
      </c>
      <c r="T24" s="51">
        <v>1072123.8259999999</v>
      </c>
      <c r="U24" s="13">
        <v>53.097999999999999</v>
      </c>
      <c r="V24" s="40">
        <f>6+5.02</f>
        <v>11.02</v>
      </c>
      <c r="W24" s="84"/>
      <c r="X24" s="85"/>
      <c r="Y24" s="86"/>
      <c r="Z24" s="37"/>
      <c r="AA24" s="52" t="str">
        <f>IF(OR(O24&lt;-600,P24&lt;-600,Q24&lt;-1000,O24&gt;600,P24&gt;600,Q24&gt;1000),"Check","Ok")</f>
        <v>Ok</v>
      </c>
      <c r="AB24" s="82"/>
      <c r="AC24" s="83"/>
    </row>
    <row r="25" spans="1:29" ht="21" x14ac:dyDescent="0.15">
      <c r="A25" s="20"/>
      <c r="B25" s="27"/>
      <c r="C25" s="27"/>
      <c r="D25" s="34"/>
      <c r="E25" s="53">
        <f t="shared" si="32"/>
        <v>225.6</v>
      </c>
      <c r="F25" s="33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31" t="s">
        <v>96</v>
      </c>
      <c r="S25" s="56"/>
      <c r="T25" s="56"/>
      <c r="U25" s="18"/>
      <c r="V25" s="9"/>
      <c r="W25" s="22"/>
      <c r="X25" s="36"/>
      <c r="Y25" s="49"/>
      <c r="Z25" s="27"/>
      <c r="AA25" s="22"/>
      <c r="AB25" s="78"/>
      <c r="AC25" s="79"/>
    </row>
    <row r="26" spans="1:29" x14ac:dyDescent="0.15">
      <c r="A26" s="14">
        <f t="shared" si="45"/>
        <v>7</v>
      </c>
      <c r="B26" s="27" t="s">
        <v>69</v>
      </c>
      <c r="C26" s="27" t="s">
        <v>45</v>
      </c>
      <c r="D26" s="34"/>
      <c r="E26" s="54"/>
      <c r="F26" s="44"/>
      <c r="G26" s="70">
        <f t="shared" si="46"/>
        <v>993.2</v>
      </c>
      <c r="H26" s="11">
        <f t="shared" ref="H26" si="67">(ROUND(E25,1)+ROUND(E27,1))/2</f>
        <v>174.35</v>
      </c>
      <c r="I26" s="71">
        <f t="shared" ref="I26" si="68">J24</f>
        <v>225.6</v>
      </c>
      <c r="J26" s="70">
        <f t="shared" ref="J26" si="69">E27</f>
        <v>123.1</v>
      </c>
      <c r="K26" s="11">
        <f t="shared" ref="K26" si="70">ROUND(I26,1)+ROUND(J26,1)</f>
        <v>348.7</v>
      </c>
      <c r="L26" s="71">
        <f t="shared" ref="L26" si="71">E25/2-2649*(U24+V24+W24-U26-V26-W26)/(0.976*E25)</f>
        <v>415.22923242936878</v>
      </c>
      <c r="M26" s="70">
        <f t="shared" ref="M26" si="72">E27/2+2649*(U26+V26+W26-U28-V28-W28)/(0.976*E27)</f>
        <v>52.444073524124136</v>
      </c>
      <c r="N26" s="11">
        <f t="shared" ref="N26" si="73">L26+M26</f>
        <v>467.6733059534929</v>
      </c>
      <c r="O26" s="71">
        <f t="shared" ref="O26" si="74">E25/2-1794*(U24+V24+W24-U26-V26-W26)/(0.976*E25)</f>
        <v>317.61617326473669</v>
      </c>
      <c r="P26" s="70">
        <f t="shared" ref="P26" si="75">E27/2+1794*(U26+V26+W26-U28-V28-W28)/(0.976*E27)</f>
        <v>55.383132465941372</v>
      </c>
      <c r="Q26" s="11">
        <f t="shared" ref="Q26" si="76">O26+P26</f>
        <v>372.99930573067809</v>
      </c>
      <c r="R26" s="72"/>
      <c r="S26" s="56">
        <v>670741.30200000003</v>
      </c>
      <c r="T26" s="56">
        <v>1072347.703</v>
      </c>
      <c r="U26" s="18">
        <v>86.256</v>
      </c>
      <c r="V26" s="9">
        <v>3</v>
      </c>
      <c r="W26" s="59"/>
      <c r="X26" s="36"/>
      <c r="Y26" s="49"/>
      <c r="Z26" s="27"/>
      <c r="AA26" s="10" t="str">
        <f>IF(OR(O26&lt;-600,P26&lt;-600,Q26&lt;-1000,O26&gt;600,P26&gt;600,Q26&gt;1000),"Check","Ok")</f>
        <v>Ok</v>
      </c>
      <c r="AB26" s="78"/>
      <c r="AC26" s="79"/>
    </row>
    <row r="27" spans="1:29" x14ac:dyDescent="0.15">
      <c r="A27" s="20"/>
      <c r="B27" s="27"/>
      <c r="C27" s="27"/>
      <c r="D27" s="34"/>
      <c r="E27" s="53">
        <f t="shared" si="32"/>
        <v>123.1</v>
      </c>
      <c r="F27" s="33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31" t="s">
        <v>97</v>
      </c>
      <c r="S27" s="56"/>
      <c r="T27" s="56"/>
      <c r="U27" s="18"/>
      <c r="V27" s="9"/>
      <c r="W27" s="22"/>
      <c r="X27" s="36"/>
      <c r="Y27" s="49"/>
      <c r="Z27" s="27"/>
      <c r="AA27" s="22"/>
      <c r="AB27" s="78"/>
      <c r="AC27" s="79"/>
    </row>
    <row r="28" spans="1:29" x14ac:dyDescent="0.15">
      <c r="A28" s="12">
        <f t="shared" si="45"/>
        <v>8</v>
      </c>
      <c r="B28" s="37" t="s">
        <v>68</v>
      </c>
      <c r="C28" s="37" t="s">
        <v>40</v>
      </c>
      <c r="D28" s="38" t="s">
        <v>76</v>
      </c>
      <c r="E28" s="55"/>
      <c r="F28" s="73">
        <f>SUM(E25:E27)</f>
        <v>348.7</v>
      </c>
      <c r="G28" s="74">
        <f t="shared" si="46"/>
        <v>1116.3</v>
      </c>
      <c r="H28" s="19">
        <f t="shared" ref="H28" si="77">(ROUND(E27,1)+ROUND(E29,1))/2</f>
        <v>288.85000000000002</v>
      </c>
      <c r="I28" s="75">
        <f t="shared" ref="I28" si="78">J26</f>
        <v>123.1</v>
      </c>
      <c r="J28" s="74">
        <f t="shared" ref="J28" si="79">E29</f>
        <v>454.6</v>
      </c>
      <c r="K28" s="19">
        <f t="shared" ref="K28" si="80">ROUND(I28,1)+ROUND(J28,1)</f>
        <v>577.70000000000005</v>
      </c>
      <c r="L28" s="75">
        <f t="shared" ref="L28" si="81">E27/2-2649*(U26+V26+W26-U28-V28-W28)/(0.976*E27)</f>
        <v>70.655926475875859</v>
      </c>
      <c r="M28" s="74">
        <f t="shared" ref="M28" si="82">E29/2+2649*(U28+V28+W28-U30-V30-W30)/(0.976*E29)</f>
        <v>337.15517803437353</v>
      </c>
      <c r="N28" s="19">
        <f t="shared" ref="N28" si="83">L28+M28</f>
        <v>407.81110451024938</v>
      </c>
      <c r="O28" s="75">
        <f t="shared" ref="O28" si="84">E27/2-1794*(U26+V26+W26-U28-V28-W28)/(0.976*E27)</f>
        <v>67.716867534058622</v>
      </c>
      <c r="P28" s="74">
        <f t="shared" ref="P28" si="85">E29/2+1794*(U28+V28+W28-U30-V30-W30)/(0.976*E29)</f>
        <v>301.69795749100268</v>
      </c>
      <c r="Q28" s="19">
        <f t="shared" ref="Q28" si="86">O28+P28</f>
        <v>369.4148250250613</v>
      </c>
      <c r="R28" s="77" t="s">
        <v>115</v>
      </c>
      <c r="S28" s="51">
        <v>670756.38600000006</v>
      </c>
      <c r="T28" s="51">
        <v>1072469.8570000001</v>
      </c>
      <c r="U28" s="13">
        <v>89.668999999999997</v>
      </c>
      <c r="V28" s="39">
        <v>0</v>
      </c>
      <c r="W28" s="84"/>
      <c r="X28" s="85"/>
      <c r="Y28" s="86"/>
      <c r="Z28" s="37"/>
      <c r="AA28" s="52" t="str">
        <f>IF(OR(O28&lt;-600,P28&lt;-600,Q28&lt;-1000,O28&gt;600,P28&gt;600,Q28&gt;1000),"Check","Ok")</f>
        <v>Ok</v>
      </c>
      <c r="AB28" s="82"/>
      <c r="AC28" s="83"/>
    </row>
    <row r="29" spans="1:29" ht="21" x14ac:dyDescent="0.15">
      <c r="A29" s="20"/>
      <c r="B29" s="27"/>
      <c r="C29" s="27"/>
      <c r="D29" s="34"/>
      <c r="E29" s="53">
        <f t="shared" si="32"/>
        <v>454.6</v>
      </c>
      <c r="F29" s="33"/>
      <c r="G29" s="15"/>
      <c r="H29" s="16"/>
      <c r="I29" s="17"/>
      <c r="J29" s="15"/>
      <c r="K29" s="16"/>
      <c r="L29" s="17"/>
      <c r="M29" s="15"/>
      <c r="N29" s="16"/>
      <c r="O29" s="17"/>
      <c r="P29" s="15"/>
      <c r="Q29" s="16"/>
      <c r="R29" s="31" t="s">
        <v>98</v>
      </c>
      <c r="S29" s="56"/>
      <c r="T29" s="56"/>
      <c r="U29" s="18"/>
      <c r="V29" s="9"/>
      <c r="W29" s="22"/>
      <c r="X29" s="36"/>
      <c r="Y29" s="49"/>
      <c r="Z29" s="27"/>
      <c r="AA29" s="22"/>
      <c r="AB29" s="78"/>
      <c r="AC29" s="79"/>
    </row>
    <row r="30" spans="1:29" x14ac:dyDescent="0.15">
      <c r="A30" s="12">
        <f t="shared" si="45"/>
        <v>9</v>
      </c>
      <c r="B30" s="37" t="s">
        <v>67</v>
      </c>
      <c r="C30" s="37" t="s">
        <v>45</v>
      </c>
      <c r="D30" s="38" t="s">
        <v>77</v>
      </c>
      <c r="E30" s="55"/>
      <c r="F30" s="73">
        <f>SUM(E29)</f>
        <v>454.6</v>
      </c>
      <c r="G30" s="74">
        <f t="shared" si="46"/>
        <v>1570.9</v>
      </c>
      <c r="H30" s="19">
        <f t="shared" ref="H30" si="87">(ROUND(E29,1)+ROUND(E31,1))/2</f>
        <v>404.5</v>
      </c>
      <c r="I30" s="75">
        <f t="shared" ref="I30" si="88">J28</f>
        <v>454.6</v>
      </c>
      <c r="J30" s="74">
        <f t="shared" ref="J30" si="89">E31</f>
        <v>354.4</v>
      </c>
      <c r="K30" s="19">
        <f t="shared" ref="K30" si="90">ROUND(I30,1)+ROUND(J30,1)</f>
        <v>809</v>
      </c>
      <c r="L30" s="75">
        <f t="shared" ref="L30" si="91">E29/2-2649*(U28+V28+W28-U30-V30-W30)/(0.976*E29)</f>
        <v>117.44482196562647</v>
      </c>
      <c r="M30" s="74">
        <f t="shared" ref="M30" si="92">E31/2+2649*(U30+V30+W30-U32-V32-W32)/(0.976*E31)</f>
        <v>405.29032756818276</v>
      </c>
      <c r="N30" s="19">
        <f t="shared" ref="N30" si="93">L30+M30</f>
        <v>522.73514953380925</v>
      </c>
      <c r="O30" s="75">
        <f t="shared" ref="O30" si="94">E29/2-1794*(U28+V28+W28-U30-V30-W30)/(0.976*E29)</f>
        <v>152.90204250899734</v>
      </c>
      <c r="P30" s="74">
        <f t="shared" ref="P30" si="95">E31/2+1794*(U30+V30+W30-U32-V32-W32)/(0.976*E31)</f>
        <v>331.67113916848615</v>
      </c>
      <c r="Q30" s="19">
        <f t="shared" ref="Q30" si="96">O30+P30</f>
        <v>484.57318167748349</v>
      </c>
      <c r="R30" s="40" t="s">
        <v>116</v>
      </c>
      <c r="S30" s="51">
        <v>670860.58200000005</v>
      </c>
      <c r="T30" s="51">
        <v>1072912.304</v>
      </c>
      <c r="U30" s="13">
        <v>68.269000000000005</v>
      </c>
      <c r="V30" s="39">
        <v>3</v>
      </c>
      <c r="W30" s="84"/>
      <c r="X30" s="85"/>
      <c r="Y30" s="86"/>
      <c r="Z30" s="37"/>
      <c r="AA30" s="52" t="str">
        <f>IF(OR(O30&lt;-600,P30&lt;-600,Q30&lt;-1000,O30&gt;600,P30&gt;600,Q30&gt;1000),"Check","Ok")</f>
        <v>Ok</v>
      </c>
      <c r="AB30" s="82"/>
      <c r="AC30" s="83"/>
    </row>
    <row r="31" spans="1:29" ht="21" x14ac:dyDescent="0.15">
      <c r="A31" s="20"/>
      <c r="B31" s="27"/>
      <c r="C31" s="27"/>
      <c r="D31" s="34"/>
      <c r="E31" s="53">
        <f t="shared" si="32"/>
        <v>354.4</v>
      </c>
      <c r="F31" s="33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31" t="s">
        <v>99</v>
      </c>
      <c r="S31" s="56"/>
      <c r="T31" s="56"/>
      <c r="U31" s="18"/>
      <c r="V31" s="9"/>
      <c r="W31" s="22"/>
      <c r="X31" s="36"/>
      <c r="Y31" s="49"/>
      <c r="Z31" s="27"/>
      <c r="AA31" s="22"/>
      <c r="AB31" s="78"/>
      <c r="AC31" s="79"/>
    </row>
    <row r="32" spans="1:29" x14ac:dyDescent="0.15">
      <c r="A32" s="14">
        <f t="shared" si="45"/>
        <v>10</v>
      </c>
      <c r="B32" s="27" t="s">
        <v>66</v>
      </c>
      <c r="C32" s="27" t="s">
        <v>45</v>
      </c>
      <c r="D32" s="34"/>
      <c r="E32" s="54"/>
      <c r="F32" s="44"/>
      <c r="G32" s="70">
        <f t="shared" si="46"/>
        <v>1925.3000000000002</v>
      </c>
      <c r="H32" s="11">
        <f t="shared" ref="H32" si="97">(ROUND(E31,1)+ROUND(E33,1))/2</f>
        <v>289</v>
      </c>
      <c r="I32" s="71">
        <f t="shared" ref="I32" si="98">J30</f>
        <v>354.4</v>
      </c>
      <c r="J32" s="70">
        <f t="shared" ref="J32" si="99">E33</f>
        <v>223.6</v>
      </c>
      <c r="K32" s="11">
        <f t="shared" ref="K32" si="100">ROUND(I32,1)+ROUND(J32,1)</f>
        <v>578</v>
      </c>
      <c r="L32" s="71">
        <f t="shared" ref="L32" si="101">E31/2-2649*(U30+V30+W30-U32-V32-W32)/(0.976*E31)</f>
        <v>-50.890327568182755</v>
      </c>
      <c r="M32" s="70">
        <f t="shared" ref="M32" si="102">E33/2+2649*(U32+V32+W32-U34-V34-W34)/(0.976*E33)</f>
        <v>194.64436951963395</v>
      </c>
      <c r="N32" s="11">
        <f t="shared" ref="N32" si="103">L32+M32</f>
        <v>143.7540419514512</v>
      </c>
      <c r="O32" s="71">
        <f t="shared" ref="O32" si="104">E31/2-1794*(U30+V30+W30-U32-V32-W32)/(0.976*E31)</f>
        <v>22.728860831513828</v>
      </c>
      <c r="P32" s="70">
        <f t="shared" ref="P32" si="105">E33/2+1794*(U32+V32+W32-U34-V34-W34)/(0.976*E33)</f>
        <v>167.90524685474645</v>
      </c>
      <c r="Q32" s="11">
        <f t="shared" ref="Q32" si="106">O32+P32</f>
        <v>190.63410768626028</v>
      </c>
      <c r="R32" s="31"/>
      <c r="S32" s="56">
        <v>670941.16</v>
      </c>
      <c r="T32" s="56">
        <v>1073257.402</v>
      </c>
      <c r="U32" s="18">
        <v>38.485999999999997</v>
      </c>
      <c r="V32" s="9">
        <v>3</v>
      </c>
      <c r="W32" s="59"/>
      <c r="X32" s="36"/>
      <c r="Y32" s="49"/>
      <c r="Z32" s="27"/>
      <c r="AA32" s="10" t="str">
        <f>IF(OR(O32&lt;-600,P32&lt;-600,Q32&lt;-1000,O32&gt;600,P32&gt;600,Q32&gt;1000),"Check","Ok")</f>
        <v>Ok</v>
      </c>
      <c r="AB32" s="78"/>
      <c r="AC32" s="79"/>
    </row>
    <row r="33" spans="1:29" x14ac:dyDescent="0.15">
      <c r="A33" s="20"/>
      <c r="B33" s="27"/>
      <c r="C33" s="27"/>
      <c r="D33" s="34"/>
      <c r="E33" s="53">
        <f t="shared" si="32"/>
        <v>223.6</v>
      </c>
      <c r="F33" s="33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31" t="s">
        <v>100</v>
      </c>
      <c r="S33" s="56"/>
      <c r="T33" s="56"/>
      <c r="U33" s="18"/>
      <c r="V33" s="9"/>
      <c r="W33" s="22"/>
      <c r="X33" s="36"/>
      <c r="Y33" s="49"/>
      <c r="Z33" s="27"/>
      <c r="AA33" s="10"/>
      <c r="AB33" s="78"/>
      <c r="AC33" s="79"/>
    </row>
    <row r="34" spans="1:29" x14ac:dyDescent="0.15">
      <c r="A34" s="14">
        <f t="shared" si="45"/>
        <v>11</v>
      </c>
      <c r="B34" s="27" t="s">
        <v>65</v>
      </c>
      <c r="C34" s="27" t="s">
        <v>50</v>
      </c>
      <c r="D34" s="34"/>
      <c r="E34" s="54"/>
      <c r="F34" s="44"/>
      <c r="G34" s="70">
        <f t="shared" si="46"/>
        <v>2148.9</v>
      </c>
      <c r="H34" s="11">
        <f t="shared" ref="H34" si="107">(ROUND(E33,1)+ROUND(E35,1))/2</f>
        <v>304.95</v>
      </c>
      <c r="I34" s="71">
        <f t="shared" ref="I34" si="108">J32</f>
        <v>223.6</v>
      </c>
      <c r="J34" s="70">
        <f t="shared" ref="J34" si="109">E35</f>
        <v>386.3</v>
      </c>
      <c r="K34" s="11">
        <f t="shared" ref="K34" si="110">ROUND(I34,1)+ROUND(J34,1)</f>
        <v>609.9</v>
      </c>
      <c r="L34" s="71">
        <f t="shared" ref="L34" si="111">E33/2-2649*(U32+V32+W32-U34-V34-W34)/(0.976*E33)</f>
        <v>28.95563048036604</v>
      </c>
      <c r="M34" s="70">
        <f t="shared" ref="M34" si="112">E35/2+2649*(U34+V34+W34-U36-V36-W36)/(0.976*E35)</f>
        <v>314.73473039725349</v>
      </c>
      <c r="N34" s="11">
        <f t="shared" ref="N34" si="113">L34+M34</f>
        <v>343.69036087761953</v>
      </c>
      <c r="O34" s="71">
        <f t="shared" ref="O34" si="114">E33/2-1794*(U32+V32+W32-U34-V34-W34)/(0.976*E33)</f>
        <v>55.694753145253557</v>
      </c>
      <c r="P34" s="70">
        <f t="shared" ref="P34" si="115">E35/2+1794*(U34+V34+W34-U36-V36-W36)/(0.976*E35)</f>
        <v>275.49164074468581</v>
      </c>
      <c r="Q34" s="11">
        <f t="shared" ref="Q34" si="116">O34+P34</f>
        <v>331.18639388993938</v>
      </c>
      <c r="R34" s="31"/>
      <c r="S34" s="56">
        <v>670991.99699999997</v>
      </c>
      <c r="T34" s="56">
        <v>1073475.125</v>
      </c>
      <c r="U34" s="18">
        <v>28.661000000000001</v>
      </c>
      <c r="V34" s="9">
        <v>6</v>
      </c>
      <c r="W34" s="59"/>
      <c r="X34" s="36"/>
      <c r="Y34" s="49"/>
      <c r="Z34" s="27"/>
      <c r="AA34" s="10" t="str">
        <f>IF(OR(O34&lt;-600,P34&lt;-600,Q34&lt;-1000,O34&gt;600,P34&gt;600,Q34&gt;1000),"Check","Ok")</f>
        <v>Ok</v>
      </c>
      <c r="AB34" s="78"/>
      <c r="AC34" s="79"/>
    </row>
    <row r="35" spans="1:29" ht="21" x14ac:dyDescent="0.15">
      <c r="A35" s="20"/>
      <c r="B35" s="27"/>
      <c r="C35" s="27"/>
      <c r="D35" s="34"/>
      <c r="E35" s="53">
        <f t="shared" si="32"/>
        <v>386.3</v>
      </c>
      <c r="F35" s="33"/>
      <c r="G35" s="15"/>
      <c r="H35" s="16"/>
      <c r="I35" s="17"/>
      <c r="J35" s="15"/>
      <c r="K35" s="16"/>
      <c r="L35" s="17"/>
      <c r="M35" s="15"/>
      <c r="N35" s="16"/>
      <c r="O35" s="17"/>
      <c r="P35" s="15"/>
      <c r="Q35" s="16"/>
      <c r="R35" s="31" t="s">
        <v>101</v>
      </c>
      <c r="S35" s="56"/>
      <c r="T35" s="56"/>
      <c r="U35" s="18"/>
      <c r="V35" s="9"/>
      <c r="W35" s="22"/>
      <c r="X35" s="36"/>
      <c r="Y35" s="49"/>
      <c r="Z35" s="27"/>
      <c r="AA35" s="22"/>
      <c r="AB35" s="78"/>
      <c r="AC35" s="79"/>
    </row>
    <row r="36" spans="1:29" x14ac:dyDescent="0.15">
      <c r="A36" s="14">
        <f t="shared" si="45"/>
        <v>12</v>
      </c>
      <c r="B36" s="27" t="s">
        <v>64</v>
      </c>
      <c r="C36" s="27" t="s">
        <v>41</v>
      </c>
      <c r="D36" s="34"/>
      <c r="E36" s="54"/>
      <c r="F36" s="44"/>
      <c r="G36" s="70">
        <f t="shared" si="46"/>
        <v>2535.2000000000003</v>
      </c>
      <c r="H36" s="11">
        <f t="shared" ref="H36" si="117">(ROUND(E35,1)+ROUND(E37,1))/2</f>
        <v>305.35000000000002</v>
      </c>
      <c r="I36" s="71">
        <f t="shared" ref="I36" si="118">J34</f>
        <v>386.3</v>
      </c>
      <c r="J36" s="70">
        <f t="shared" ref="J36" si="119">E37</f>
        <v>224.4</v>
      </c>
      <c r="K36" s="11">
        <f t="shared" ref="K36" si="120">ROUND(I36,1)+ROUND(J36,1)</f>
        <v>610.70000000000005</v>
      </c>
      <c r="L36" s="71">
        <f t="shared" ref="L36" si="121">E35/2-2649*(U34+V34+W34-U36-V36-W36)/(0.976*E35)</f>
        <v>71.565269602746525</v>
      </c>
      <c r="M36" s="70">
        <f t="shared" ref="M36" si="122">E37/2+2649*(U36+V36+W36-U38-V38-W38)/(0.976*E37)</f>
        <v>99.330818795476489</v>
      </c>
      <c r="N36" s="11">
        <f t="shared" ref="N36" si="123">L36+M36</f>
        <v>170.89608839822301</v>
      </c>
      <c r="O36" s="71">
        <f t="shared" ref="O36" si="124">E35/2-1794*(U34+V34+W34-U36-V36-W36)/(0.976*E35)</f>
        <v>110.80835925531419</v>
      </c>
      <c r="P36" s="70">
        <f t="shared" ref="P36" si="125">E37/2+1794*(U36+V36+W36-U38-V38-W38)/(0.976*E37)</f>
        <v>103.48451827825022</v>
      </c>
      <c r="Q36" s="11">
        <f t="shared" ref="Q36" si="126">O36+P36</f>
        <v>214.29287753356442</v>
      </c>
      <c r="R36" s="31" t="s">
        <v>117</v>
      </c>
      <c r="S36" s="56">
        <v>671079.83299999998</v>
      </c>
      <c r="T36" s="56">
        <v>1073851.307</v>
      </c>
      <c r="U36" s="18">
        <v>11.356</v>
      </c>
      <c r="V36" s="9">
        <v>6</v>
      </c>
      <c r="W36" s="59"/>
      <c r="X36" s="36"/>
      <c r="Y36" s="49"/>
      <c r="Z36" s="27"/>
      <c r="AA36" s="10" t="str">
        <f>IF(OR(O36&lt;100,P36&lt;100,Q36&lt;200,O36&gt;319,P36&gt;319,Q36&gt;525),"Check","Ok")</f>
        <v>Ok</v>
      </c>
      <c r="AB36" s="78"/>
      <c r="AC36" s="79"/>
    </row>
    <row r="37" spans="1:29" x14ac:dyDescent="0.15">
      <c r="A37" s="20"/>
      <c r="B37" s="27"/>
      <c r="C37" s="27"/>
      <c r="D37" s="34"/>
      <c r="E37" s="53">
        <f t="shared" si="32"/>
        <v>224.4</v>
      </c>
      <c r="F37" s="33"/>
      <c r="G37" s="15"/>
      <c r="H37" s="16"/>
      <c r="I37" s="17"/>
      <c r="J37" s="15"/>
      <c r="K37" s="16"/>
      <c r="L37" s="17"/>
      <c r="M37" s="15"/>
      <c r="N37" s="16"/>
      <c r="O37" s="17"/>
      <c r="P37" s="15"/>
      <c r="Q37" s="16"/>
      <c r="R37" s="31" t="s">
        <v>102</v>
      </c>
      <c r="S37" s="56"/>
      <c r="T37" s="56"/>
      <c r="U37" s="18"/>
      <c r="V37" s="9"/>
      <c r="W37" s="22"/>
      <c r="X37" s="36"/>
      <c r="Y37" s="49"/>
      <c r="Z37" s="27"/>
      <c r="AA37" s="22"/>
      <c r="AB37" s="78"/>
      <c r="AC37" s="79"/>
    </row>
    <row r="38" spans="1:29" x14ac:dyDescent="0.15">
      <c r="A38" s="14">
        <f t="shared" si="45"/>
        <v>13</v>
      </c>
      <c r="B38" s="27" t="s">
        <v>63</v>
      </c>
      <c r="C38" s="27" t="s">
        <v>51</v>
      </c>
      <c r="D38" s="34"/>
      <c r="E38" s="54"/>
      <c r="F38" s="44"/>
      <c r="G38" s="70">
        <f t="shared" si="46"/>
        <v>2759.6000000000004</v>
      </c>
      <c r="H38" s="11">
        <f t="shared" ref="H38" si="127">(ROUND(E37,1)+ROUND(E39,1))/2</f>
        <v>314.2</v>
      </c>
      <c r="I38" s="71">
        <f t="shared" ref="I38" si="128">J36</f>
        <v>224.4</v>
      </c>
      <c r="J38" s="70">
        <f t="shared" ref="J38" si="129">E39</f>
        <v>404</v>
      </c>
      <c r="K38" s="11">
        <f t="shared" ref="K38" si="130">ROUND(I38,1)+ROUND(J38,1)</f>
        <v>628.4</v>
      </c>
      <c r="L38" s="71">
        <f t="shared" ref="L38" si="131">E37/2-2649*(U36+V36+W36-U38-V38-W38)/(0.976*E37)</f>
        <v>125.06918120452352</v>
      </c>
      <c r="M38" s="70">
        <f t="shared" ref="M38" si="132">E39/2+2649*(U38+V38+W38-U40-V40-W40)/(0.976*E39)</f>
        <v>184.02218592760917</v>
      </c>
      <c r="N38" s="11">
        <f t="shared" ref="N38" si="133">L38+M38</f>
        <v>309.09136713213269</v>
      </c>
      <c r="O38" s="71">
        <f t="shared" ref="O38" si="134">E37/2-1794*(U36+V36+W36-U38-V38-W38)/(0.976*E37)</f>
        <v>120.91548172174979</v>
      </c>
      <c r="P38" s="70">
        <f t="shared" ref="P38" si="135">E39/2+1794*(U38+V38+W38-U40-V40-W40)/(0.976*E39)</f>
        <v>189.82476464859602</v>
      </c>
      <c r="Q38" s="11">
        <f t="shared" ref="Q38" si="136">O38+P38</f>
        <v>310.7402463703458</v>
      </c>
      <c r="R38" s="31" t="s">
        <v>118</v>
      </c>
      <c r="S38" s="56">
        <v>671130.85900000005</v>
      </c>
      <c r="T38" s="56">
        <v>1074069.8389999999</v>
      </c>
      <c r="U38" s="18">
        <v>9.42</v>
      </c>
      <c r="V38" s="9">
        <v>9</v>
      </c>
      <c r="W38" s="59"/>
      <c r="X38" s="36"/>
      <c r="Y38" s="49"/>
      <c r="Z38" s="27"/>
      <c r="AA38" s="10" t="str">
        <f>IF(OR(O38&lt;100,P38&lt;100,Q38&lt;200,O38&gt;319,P38&gt;319,Q38&gt;525),"Check","Ok")</f>
        <v>Ok</v>
      </c>
      <c r="AB38" s="78"/>
      <c r="AC38" s="79"/>
    </row>
    <row r="39" spans="1:29" x14ac:dyDescent="0.15">
      <c r="A39" s="20"/>
      <c r="B39" s="27"/>
      <c r="C39" s="27"/>
      <c r="D39" s="34"/>
      <c r="E39" s="53">
        <f t="shared" si="32"/>
        <v>404</v>
      </c>
      <c r="F39" s="33"/>
      <c r="G39" s="15"/>
      <c r="H39" s="16"/>
      <c r="I39" s="17"/>
      <c r="J39" s="15"/>
      <c r="K39" s="16"/>
      <c r="L39" s="17"/>
      <c r="M39" s="15"/>
      <c r="N39" s="16"/>
      <c r="O39" s="17"/>
      <c r="P39" s="15"/>
      <c r="Q39" s="16"/>
      <c r="R39" s="31" t="s">
        <v>103</v>
      </c>
      <c r="S39" s="56"/>
      <c r="T39" s="56"/>
      <c r="U39" s="18"/>
      <c r="V39" s="9"/>
      <c r="W39" s="22"/>
      <c r="X39" s="36"/>
      <c r="Y39" s="49"/>
      <c r="Z39" s="27"/>
      <c r="AA39" s="22"/>
      <c r="AB39" s="78"/>
      <c r="AC39" s="79"/>
    </row>
    <row r="40" spans="1:29" x14ac:dyDescent="0.15">
      <c r="A40" s="12">
        <f t="shared" si="45"/>
        <v>14</v>
      </c>
      <c r="B40" s="37" t="s">
        <v>62</v>
      </c>
      <c r="C40" s="37" t="s">
        <v>52</v>
      </c>
      <c r="D40" s="38" t="s">
        <v>78</v>
      </c>
      <c r="E40" s="55"/>
      <c r="F40" s="73">
        <f>SUM(E31:E39)</f>
        <v>1592.7</v>
      </c>
      <c r="G40" s="74">
        <f t="shared" si="46"/>
        <v>3163.6000000000004</v>
      </c>
      <c r="H40" s="19">
        <f t="shared" ref="H40" si="137">(ROUND(E39,1)+ROUND(E41,1))/2</f>
        <v>368.5</v>
      </c>
      <c r="I40" s="75">
        <f t="shared" ref="I40" si="138">J38</f>
        <v>404</v>
      </c>
      <c r="J40" s="74">
        <f t="shared" ref="J40" si="139">E41</f>
        <v>333</v>
      </c>
      <c r="K40" s="19">
        <f t="shared" ref="K40" si="140">ROUND(I40,1)+ROUND(J40,1)</f>
        <v>737</v>
      </c>
      <c r="L40" s="75">
        <f t="shared" ref="L40" si="141">E39/2-2649*(U38+V38+W38-U40-V40-W40)/(0.976*E39)</f>
        <v>219.97781407239083</v>
      </c>
      <c r="M40" s="74">
        <f t="shared" ref="M40" si="142">E41/2+2649*(U40+V40+W40-U42-V42-W42)/(0.976*E41)</f>
        <v>150.91611283414562</v>
      </c>
      <c r="N40" s="19">
        <f t="shared" ref="N40" si="143">L40+M40</f>
        <v>370.89392690653642</v>
      </c>
      <c r="O40" s="75">
        <f t="shared" ref="O40" si="144">E39/2-1794*(U38+V38+W38-U40-V40-W40)/(0.976*E39)</f>
        <v>214.17523535140398</v>
      </c>
      <c r="P40" s="74">
        <f t="shared" ref="P40" si="145">E41/2+1794*(U40+V40+W40-U42-V42-W42)/(0.976*E41)</f>
        <v>155.94601979028209</v>
      </c>
      <c r="Q40" s="19">
        <f t="shared" ref="Q40" si="146">O40+P40</f>
        <v>370.12125514168611</v>
      </c>
      <c r="R40" s="40" t="s">
        <v>119</v>
      </c>
      <c r="S40" s="51">
        <v>671222.71900000004</v>
      </c>
      <c r="T40" s="51">
        <v>1074463.2579999999</v>
      </c>
      <c r="U40" s="13">
        <v>15.096</v>
      </c>
      <c r="V40" s="39">
        <v>6</v>
      </c>
      <c r="W40" s="84"/>
      <c r="X40" s="85"/>
      <c r="Y40" s="86"/>
      <c r="Z40" s="37"/>
      <c r="AA40" s="52" t="str">
        <f>IF(OR(O40&lt;-600,P40&lt;-600,Q40&lt;-1000,O40&gt;600,P40&gt;600,Q40&gt;1000),"Check","Ok")</f>
        <v>Ok</v>
      </c>
      <c r="AB40" s="82"/>
      <c r="AC40" s="83"/>
    </row>
    <row r="41" spans="1:29" x14ac:dyDescent="0.15">
      <c r="A41" s="20"/>
      <c r="B41" s="27"/>
      <c r="C41" s="27"/>
      <c r="D41" s="34"/>
      <c r="E41" s="53">
        <f t="shared" si="32"/>
        <v>333</v>
      </c>
      <c r="F41" s="33"/>
      <c r="G41" s="15"/>
      <c r="H41" s="16"/>
      <c r="I41" s="17"/>
      <c r="J41" s="15"/>
      <c r="K41" s="16"/>
      <c r="L41" s="17"/>
      <c r="M41" s="15"/>
      <c r="N41" s="16"/>
      <c r="O41" s="17"/>
      <c r="P41" s="15"/>
      <c r="Q41" s="16"/>
      <c r="R41" s="31" t="s">
        <v>104</v>
      </c>
      <c r="S41" s="56"/>
      <c r="T41" s="56"/>
      <c r="U41" s="18"/>
      <c r="V41" s="9"/>
      <c r="W41" s="22"/>
      <c r="X41" s="36"/>
      <c r="Y41" s="49"/>
      <c r="Z41" s="27"/>
      <c r="AA41" s="22"/>
      <c r="AB41" s="78"/>
      <c r="AC41" s="79"/>
    </row>
    <row r="42" spans="1:29" x14ac:dyDescent="0.15">
      <c r="A42" s="12">
        <f t="shared" si="45"/>
        <v>15</v>
      </c>
      <c r="B42" s="37" t="s">
        <v>61</v>
      </c>
      <c r="C42" s="37" t="s">
        <v>41</v>
      </c>
      <c r="D42" s="38" t="s">
        <v>79</v>
      </c>
      <c r="E42" s="55"/>
      <c r="F42" s="73">
        <f>SUM(E41)</f>
        <v>333</v>
      </c>
      <c r="G42" s="74">
        <f t="shared" si="46"/>
        <v>3496.6000000000004</v>
      </c>
      <c r="H42" s="19">
        <f t="shared" ref="H42" si="147">(ROUND(E41,1)+ROUND(E43,1))/2</f>
        <v>286</v>
      </c>
      <c r="I42" s="75">
        <f t="shared" ref="I42" si="148">J40</f>
        <v>333</v>
      </c>
      <c r="J42" s="74">
        <f t="shared" ref="J42" si="149">E43</f>
        <v>239</v>
      </c>
      <c r="K42" s="19">
        <f t="shared" ref="K42" si="150">ROUND(I42,1)+ROUND(J42,1)</f>
        <v>572</v>
      </c>
      <c r="L42" s="75">
        <f t="shared" ref="L42" si="151">E41/2-2649*(U40+V40+W40-U42-V42-W42)/(0.976*E41)</f>
        <v>182.08388716585438</v>
      </c>
      <c r="M42" s="74">
        <f t="shared" ref="M42" si="152">E43/2+2649*(U42+V42+W42-U44-V44-W44)/(0.976*E43)</f>
        <v>135.98924823376089</v>
      </c>
      <c r="N42" s="19">
        <f t="shared" ref="N42" si="153">L42+M42</f>
        <v>318.07313539961524</v>
      </c>
      <c r="O42" s="75">
        <f t="shared" ref="O42" si="154">E41/2-1794*(U40+V40+W40-U42-V42-W42)/(0.976*E41)</f>
        <v>177.05398020971791</v>
      </c>
      <c r="P42" s="74">
        <f t="shared" ref="P42" si="155">E43/2+1794*(U42+V42+W42-U44-V44-W44)/(0.976*E43)</f>
        <v>130.66712394540093</v>
      </c>
      <c r="Q42" s="19">
        <f t="shared" ref="Q42" si="156">O42+P42</f>
        <v>307.72110415511884</v>
      </c>
      <c r="R42" s="40"/>
      <c r="S42" s="51">
        <v>671220.43</v>
      </c>
      <c r="T42" s="51">
        <v>1074796.2679999999</v>
      </c>
      <c r="U42" s="13">
        <v>17.007999999999999</v>
      </c>
      <c r="V42" s="39">
        <v>6</v>
      </c>
      <c r="W42" s="84"/>
      <c r="X42" s="85"/>
      <c r="Y42" s="86"/>
      <c r="Z42" s="37"/>
      <c r="AA42" s="52" t="str">
        <f>IF(OR(O42&lt;100,P42&lt;100,Q42&lt;200,O42&gt;319,P42&gt;319,Q42&gt;525),"Check","Ok")</f>
        <v>Ok</v>
      </c>
      <c r="AB42" s="82"/>
      <c r="AC42" s="83"/>
    </row>
    <row r="43" spans="1:29" ht="21" x14ac:dyDescent="0.15">
      <c r="A43" s="20"/>
      <c r="B43" s="27"/>
      <c r="C43" s="27"/>
      <c r="D43" s="34"/>
      <c r="E43" s="53">
        <f t="shared" si="32"/>
        <v>239</v>
      </c>
      <c r="F43" s="33"/>
      <c r="G43" s="15"/>
      <c r="H43" s="16"/>
      <c r="I43" s="17"/>
      <c r="J43" s="15"/>
      <c r="K43" s="16"/>
      <c r="L43" s="17"/>
      <c r="M43" s="15"/>
      <c r="N43" s="16"/>
      <c r="O43" s="17"/>
      <c r="P43" s="15"/>
      <c r="Q43" s="16"/>
      <c r="R43" s="31" t="s">
        <v>105</v>
      </c>
      <c r="S43" s="56"/>
      <c r="T43" s="56"/>
      <c r="U43" s="18"/>
      <c r="V43" s="9"/>
      <c r="W43" s="22"/>
      <c r="X43" s="36"/>
      <c r="Y43" s="49"/>
      <c r="Z43" s="27"/>
      <c r="AA43" s="22"/>
      <c r="AB43" s="78"/>
      <c r="AC43" s="79"/>
    </row>
    <row r="44" spans="1:29" x14ac:dyDescent="0.15">
      <c r="A44" s="12">
        <f t="shared" si="45"/>
        <v>16</v>
      </c>
      <c r="B44" s="37" t="s">
        <v>60</v>
      </c>
      <c r="C44" s="37" t="s">
        <v>46</v>
      </c>
      <c r="D44" s="38" t="s">
        <v>80</v>
      </c>
      <c r="E44" s="55"/>
      <c r="F44" s="73">
        <f>SUM(E43)</f>
        <v>239</v>
      </c>
      <c r="G44" s="74">
        <f t="shared" si="46"/>
        <v>3735.6000000000004</v>
      </c>
      <c r="H44" s="19">
        <f t="shared" ref="H44" si="157">(ROUND(E43,1)+ROUND(E45,1))/2</f>
        <v>337.05</v>
      </c>
      <c r="I44" s="75">
        <f t="shared" ref="I44" si="158">J42</f>
        <v>239</v>
      </c>
      <c r="J44" s="74">
        <f t="shared" ref="J44" si="159">E45</f>
        <v>435.1</v>
      </c>
      <c r="K44" s="19">
        <f t="shared" ref="K44" si="160">ROUND(I44,1)+ROUND(J44,1)</f>
        <v>674.1</v>
      </c>
      <c r="L44" s="75">
        <f t="shared" ref="L44" si="161">E43/2-2649*(U42+V42+W42-U44-V44-W44)/(0.976*E43)</f>
        <v>103.01075176623911</v>
      </c>
      <c r="M44" s="74">
        <f t="shared" ref="M44" si="162">E45/2+2649*(U44+V44+W44-U46-V46-W46)/(0.976*E45)</f>
        <v>227.13151696802316</v>
      </c>
      <c r="N44" s="19">
        <f t="shared" ref="N44" si="163">L44+M44</f>
        <v>330.1422687342623</v>
      </c>
      <c r="O44" s="75">
        <f t="shared" ref="O44" si="164">E43/2-1794*(U42+V42+W42-U44-V44-W44)/(0.976*E43)</f>
        <v>108.33287605459908</v>
      </c>
      <c r="P44" s="74">
        <f t="shared" ref="P44" si="165">E45/2+1794*(U44+V44+W44-U46-V46-W46)/(0.976*E45)</f>
        <v>224.03895486622633</v>
      </c>
      <c r="Q44" s="19">
        <f t="shared" ref="Q44" si="166">O44+P44</f>
        <v>332.3718309208254</v>
      </c>
      <c r="R44" s="40" t="s">
        <v>120</v>
      </c>
      <c r="S44" s="51">
        <v>671217.701</v>
      </c>
      <c r="T44" s="51">
        <v>1075035.203</v>
      </c>
      <c r="U44" s="13">
        <v>12.555999999999999</v>
      </c>
      <c r="V44" s="39">
        <v>9</v>
      </c>
      <c r="W44" s="84"/>
      <c r="X44" s="85"/>
      <c r="Y44" s="86"/>
      <c r="Z44" s="37"/>
      <c r="AA44" s="52" t="str">
        <f>IF(OR(O44&lt;-600,P44&lt;-600,Q44&lt;-1000,O44&gt;600,P44&gt;600,Q44&gt;1000),"Check","Ok")</f>
        <v>Ok</v>
      </c>
      <c r="AB44" s="82"/>
      <c r="AC44" s="83"/>
    </row>
    <row r="45" spans="1:29" ht="21" x14ac:dyDescent="0.15">
      <c r="A45" s="20"/>
      <c r="B45" s="27"/>
      <c r="C45" s="27"/>
      <c r="D45" s="34"/>
      <c r="E45" s="53">
        <f t="shared" si="32"/>
        <v>435.1</v>
      </c>
      <c r="F45" s="33"/>
      <c r="G45" s="15"/>
      <c r="H45" s="16"/>
      <c r="I45" s="17"/>
      <c r="J45" s="15"/>
      <c r="K45" s="16"/>
      <c r="L45" s="17"/>
      <c r="M45" s="15"/>
      <c r="N45" s="16"/>
      <c r="O45" s="17"/>
      <c r="P45" s="15"/>
      <c r="Q45" s="16"/>
      <c r="R45" s="31" t="s">
        <v>106</v>
      </c>
      <c r="S45" s="56"/>
      <c r="T45" s="56"/>
      <c r="U45" s="18"/>
      <c r="V45" s="9"/>
      <c r="W45" s="22"/>
      <c r="X45" s="36"/>
      <c r="Y45" s="49"/>
      <c r="Z45" s="27"/>
      <c r="AA45" s="22"/>
      <c r="AB45" s="78"/>
      <c r="AC45" s="79"/>
    </row>
    <row r="46" spans="1:29" x14ac:dyDescent="0.15">
      <c r="A46" s="14">
        <f t="shared" si="45"/>
        <v>17</v>
      </c>
      <c r="B46" s="27" t="s">
        <v>59</v>
      </c>
      <c r="C46" s="27" t="s">
        <v>46</v>
      </c>
      <c r="D46" s="34"/>
      <c r="E46" s="54"/>
      <c r="F46" s="44"/>
      <c r="G46" s="70">
        <f t="shared" si="46"/>
        <v>4170.7000000000007</v>
      </c>
      <c r="H46" s="11">
        <f t="shared" ref="H46" si="167">(ROUND(E45,1)+ROUND(E47,1))/2</f>
        <v>423.8</v>
      </c>
      <c r="I46" s="71">
        <f t="shared" ref="I46" si="168">J44</f>
        <v>435.1</v>
      </c>
      <c r="J46" s="70">
        <f t="shared" ref="J46" si="169">E47</f>
        <v>412.5</v>
      </c>
      <c r="K46" s="11">
        <f t="shared" ref="K46" si="170">ROUND(I46,1)+ROUND(J46,1)</f>
        <v>847.6</v>
      </c>
      <c r="L46" s="71">
        <f t="shared" ref="L46" si="171">E45/2-2649*(U44+V44+W44-U46-V46-W46)/(0.976*E45)</f>
        <v>207.96848303197686</v>
      </c>
      <c r="M46" s="70">
        <f t="shared" ref="M46" si="172">E47/2+2649*(U46+V46+W46-U48-V48-W48)/(0.976*E47)</f>
        <v>200.11769001490313</v>
      </c>
      <c r="N46" s="11">
        <f t="shared" ref="N46" si="173">L46+M46</f>
        <v>408.08617304687999</v>
      </c>
      <c r="O46" s="71">
        <f t="shared" ref="O46" si="174">E45/2-1794*(U44+V44+W44-U46-V46-W46)/(0.976*E45)</f>
        <v>211.06104513377369</v>
      </c>
      <c r="P46" s="70">
        <f t="shared" ref="P46" si="175">E47/2+1794*(U46+V46+W46-U48-V48-W48)/(0.976*E47)</f>
        <v>202.09697466467958</v>
      </c>
      <c r="Q46" s="11">
        <f t="shared" ref="Q46" si="176">O46+P46</f>
        <v>413.15801979845327</v>
      </c>
      <c r="R46" s="72" t="s">
        <v>121</v>
      </c>
      <c r="S46" s="56">
        <v>671212.73300000001</v>
      </c>
      <c r="T46" s="56">
        <v>1075470.2350000001</v>
      </c>
      <c r="U46" s="18">
        <v>11.02</v>
      </c>
      <c r="V46" s="9">
        <v>9</v>
      </c>
      <c r="W46" s="59"/>
      <c r="X46" s="36"/>
      <c r="Y46" s="49"/>
      <c r="Z46" s="27"/>
      <c r="AA46" s="10" t="str">
        <f>IF(OR(O46&lt;-600,P46&lt;-600,Q46&lt;-1000,O46&gt;600,P46&gt;600,Q46&gt;1000),"Check","Ok")</f>
        <v>Ok</v>
      </c>
      <c r="AB46" s="78"/>
      <c r="AC46" s="79"/>
    </row>
    <row r="47" spans="1:29" x14ac:dyDescent="0.15">
      <c r="A47" s="20"/>
      <c r="B47" s="27"/>
      <c r="C47" s="27"/>
      <c r="D47" s="34"/>
      <c r="E47" s="53">
        <f t="shared" si="32"/>
        <v>412.5</v>
      </c>
      <c r="F47" s="33"/>
      <c r="G47" s="15"/>
      <c r="H47" s="16"/>
      <c r="I47" s="17"/>
      <c r="J47" s="15"/>
      <c r="K47" s="16"/>
      <c r="L47" s="17"/>
      <c r="M47" s="15"/>
      <c r="N47" s="16"/>
      <c r="O47" s="17"/>
      <c r="P47" s="15"/>
      <c r="Q47" s="16"/>
      <c r="R47" s="31" t="s">
        <v>107</v>
      </c>
      <c r="S47" s="56"/>
      <c r="T47" s="56"/>
      <c r="U47" s="18"/>
      <c r="V47" s="9"/>
      <c r="W47" s="22"/>
      <c r="X47" s="36"/>
      <c r="Y47" s="49"/>
      <c r="Z47" s="27"/>
      <c r="AA47" s="22"/>
      <c r="AB47" s="78"/>
      <c r="AC47" s="79"/>
    </row>
    <row r="48" spans="1:29" x14ac:dyDescent="0.15">
      <c r="A48" s="14">
        <f t="shared" si="45"/>
        <v>18</v>
      </c>
      <c r="B48" s="27" t="s">
        <v>58</v>
      </c>
      <c r="C48" s="27" t="s">
        <v>46</v>
      </c>
      <c r="D48" s="34"/>
      <c r="E48" s="54"/>
      <c r="F48" s="44"/>
      <c r="G48" s="70">
        <f t="shared" si="46"/>
        <v>4583.2000000000007</v>
      </c>
      <c r="H48" s="11">
        <f t="shared" ref="H48" si="177">(ROUND(E47,1)+ROUND(E49,1))/2</f>
        <v>405.55</v>
      </c>
      <c r="I48" s="71">
        <f t="shared" ref="I48" si="178">J46</f>
        <v>412.5</v>
      </c>
      <c r="J48" s="70">
        <f t="shared" ref="J48" si="179">E49</f>
        <v>398.6</v>
      </c>
      <c r="K48" s="11">
        <f t="shared" ref="K48" si="180">ROUND(I48,1)+ROUND(J48,1)</f>
        <v>811.1</v>
      </c>
      <c r="L48" s="71">
        <f t="shared" ref="L48" si="181">E47/2-2649*(U46+V46+W46-U48-V48-W48)/(0.976*E47)</f>
        <v>212.38230998509687</v>
      </c>
      <c r="M48" s="70">
        <f t="shared" ref="M48" si="182">E49/2+2649*(U48+V48+W48-U50-V50-W50)/(0.976*E49)</f>
        <v>213.39500361922467</v>
      </c>
      <c r="N48" s="11">
        <f t="shared" ref="N48" si="183">L48+M48</f>
        <v>425.77731360432153</v>
      </c>
      <c r="O48" s="71">
        <f t="shared" ref="O48" si="184">E47/2-1794*(U46+V46+W46-U48-V48-W48)/(0.976*E47)</f>
        <v>210.40302533532042</v>
      </c>
      <c r="P48" s="70">
        <f t="shared" ref="P48" si="185">E49/2+1794*(U48+V48+W48-U50-V50-W50)/(0.976*E49)</f>
        <v>208.84565364019971</v>
      </c>
      <c r="Q48" s="11">
        <f t="shared" ref="Q48" si="186">O48+P48</f>
        <v>419.24867897552014</v>
      </c>
      <c r="R48" s="31"/>
      <c r="S48" s="56">
        <v>671208.022</v>
      </c>
      <c r="T48" s="56">
        <v>1075882.7479999999</v>
      </c>
      <c r="U48" s="18">
        <v>11.952</v>
      </c>
      <c r="V48" s="9">
        <v>9</v>
      </c>
      <c r="W48" s="59"/>
      <c r="X48" s="36"/>
      <c r="Y48" s="49"/>
      <c r="Z48" s="27"/>
      <c r="AA48" s="10" t="str">
        <f>IF(OR(O48&lt;-600,P48&lt;-600,Q48&lt;-1000,O48&gt;600,P48&gt;600,Q48&gt;1000),"Check","Ok")</f>
        <v>Ok</v>
      </c>
      <c r="AB48" s="78"/>
      <c r="AC48" s="79"/>
    </row>
    <row r="49" spans="1:29" x14ac:dyDescent="0.15">
      <c r="A49" s="20"/>
      <c r="B49" s="27"/>
      <c r="C49" s="27"/>
      <c r="D49" s="34"/>
      <c r="E49" s="53">
        <f t="shared" si="32"/>
        <v>398.6</v>
      </c>
      <c r="F49" s="33"/>
      <c r="G49" s="15"/>
      <c r="H49" s="16"/>
      <c r="I49" s="17"/>
      <c r="J49" s="15"/>
      <c r="K49" s="16"/>
      <c r="L49" s="17"/>
      <c r="M49" s="15"/>
      <c r="N49" s="16"/>
      <c r="O49" s="17"/>
      <c r="P49" s="15"/>
      <c r="Q49" s="16"/>
      <c r="R49" s="31" t="s">
        <v>108</v>
      </c>
      <c r="S49" s="56"/>
      <c r="T49" s="56"/>
      <c r="U49" s="18"/>
      <c r="V49" s="9"/>
      <c r="W49" s="22"/>
      <c r="X49" s="36"/>
      <c r="Y49" s="49"/>
      <c r="Z49" s="27"/>
      <c r="AA49" s="22"/>
      <c r="AB49" s="78"/>
      <c r="AC49" s="79"/>
    </row>
    <row r="50" spans="1:29" x14ac:dyDescent="0.15">
      <c r="A50" s="14">
        <f t="shared" si="45"/>
        <v>19</v>
      </c>
      <c r="B50" s="27" t="s">
        <v>57</v>
      </c>
      <c r="C50" s="27" t="s">
        <v>41</v>
      </c>
      <c r="D50" s="34"/>
      <c r="E50" s="54"/>
      <c r="F50" s="44"/>
      <c r="G50" s="70">
        <f t="shared" si="46"/>
        <v>4981.8000000000011</v>
      </c>
      <c r="H50" s="11">
        <f t="shared" ref="H50" si="187">(ROUND(E49,1)+ROUND(E51,1))/2</f>
        <v>316.64999999999998</v>
      </c>
      <c r="I50" s="71">
        <f t="shared" ref="I50" si="188">J48</f>
        <v>398.6</v>
      </c>
      <c r="J50" s="70">
        <f t="shared" ref="J50" si="189">E51</f>
        <v>234.7</v>
      </c>
      <c r="K50" s="11">
        <f t="shared" ref="K50" si="190">ROUND(I50,1)+ROUND(J50,1)</f>
        <v>633.29999999999995</v>
      </c>
      <c r="L50" s="71">
        <f t="shared" ref="L50" si="191">E49/2-2649*(U48+V48+W48-U50-V50-W50)/(0.976*E49)</f>
        <v>185.20499638077536</v>
      </c>
      <c r="M50" s="70">
        <f t="shared" ref="M50" si="192">E51/2+2649*(U50+V50+W50-U52-V52-W52)/(0.976*E51)</f>
        <v>101.78446289996994</v>
      </c>
      <c r="N50" s="11">
        <f t="shared" ref="N50" si="193">L50+M50</f>
        <v>286.98945928074528</v>
      </c>
      <c r="O50" s="71">
        <f t="shared" ref="O50" si="194">E49/2-1794*(U48+V48+W48-U50-V50-W50)/(0.976*E49)</f>
        <v>189.75434635980031</v>
      </c>
      <c r="P50" s="70">
        <f t="shared" ref="P50" si="195">E51/2+1794*(U50+V50+W50-U52-V52-W52)/(0.976*E51)</f>
        <v>106.80844712817895</v>
      </c>
      <c r="Q50" s="11">
        <f t="shared" ref="Q50" si="196">O50+P50</f>
        <v>296.56279348797926</v>
      </c>
      <c r="R50" s="72" t="s">
        <v>122</v>
      </c>
      <c r="S50" s="56">
        <v>671203.47</v>
      </c>
      <c r="T50" s="56">
        <v>1076281.3019999999</v>
      </c>
      <c r="U50" s="18">
        <v>12.882</v>
      </c>
      <c r="V50" s="9">
        <v>6</v>
      </c>
      <c r="W50" s="59"/>
      <c r="X50" s="36"/>
      <c r="Y50" s="49"/>
      <c r="Z50" s="27"/>
      <c r="AA50" s="10" t="str">
        <f>IF(OR(O50&lt;100,P50&lt;100,Q50&lt;200,O50&gt;319,P50&gt;319,Q50&gt;525),"Check","Ok")</f>
        <v>Ok</v>
      </c>
      <c r="AB50" s="78"/>
      <c r="AC50" s="79"/>
    </row>
    <row r="51" spans="1:29" ht="21" x14ac:dyDescent="0.15">
      <c r="A51" s="20"/>
      <c r="B51" s="27"/>
      <c r="C51" s="27"/>
      <c r="D51" s="34"/>
      <c r="E51" s="53">
        <f t="shared" si="32"/>
        <v>234.7</v>
      </c>
      <c r="F51" s="33"/>
      <c r="G51" s="15"/>
      <c r="H51" s="16"/>
      <c r="I51" s="17"/>
      <c r="J51" s="15"/>
      <c r="K51" s="16"/>
      <c r="L51" s="17"/>
      <c r="M51" s="15"/>
      <c r="N51" s="16"/>
      <c r="O51" s="17"/>
      <c r="P51" s="15"/>
      <c r="Q51" s="16"/>
      <c r="R51" s="31" t="s">
        <v>109</v>
      </c>
      <c r="S51" s="56"/>
      <c r="T51" s="56"/>
      <c r="U51" s="18"/>
      <c r="V51" s="9"/>
      <c r="W51" s="22"/>
      <c r="X51" s="36"/>
      <c r="Y51" s="49"/>
      <c r="Z51" s="27"/>
      <c r="AA51" s="22"/>
      <c r="AB51" s="78"/>
      <c r="AC51" s="79"/>
    </row>
    <row r="52" spans="1:29" x14ac:dyDescent="0.15">
      <c r="A52" s="14">
        <f t="shared" si="45"/>
        <v>20</v>
      </c>
      <c r="B52" s="27" t="s">
        <v>56</v>
      </c>
      <c r="C52" s="27" t="s">
        <v>41</v>
      </c>
      <c r="D52" s="34"/>
      <c r="E52" s="54"/>
      <c r="F52" s="44"/>
      <c r="G52" s="70">
        <f t="shared" si="46"/>
        <v>5216.5000000000009</v>
      </c>
      <c r="H52" s="11">
        <f t="shared" ref="H52" si="197">(ROUND(E51,1)+ROUND(E53,1))/2</f>
        <v>216.95</v>
      </c>
      <c r="I52" s="71">
        <f t="shared" ref="I52" si="198">J50</f>
        <v>234.7</v>
      </c>
      <c r="J52" s="70">
        <f t="shared" ref="J52" si="199">E53</f>
        <v>199.2</v>
      </c>
      <c r="K52" s="11">
        <f t="shared" ref="K52" si="200">ROUND(I52,1)+ROUND(J52,1)</f>
        <v>433.9</v>
      </c>
      <c r="L52" s="71">
        <f t="shared" ref="L52" si="201">E51/2-2649*(U50+V50+W50-U52-V52-W52)/(0.976*E51)</f>
        <v>132.91553710003006</v>
      </c>
      <c r="M52" s="70">
        <f t="shared" ref="M52" si="202">E53/2+2649*(U52+V52+W52-U54-V54-W54)/(0.976*E53)</f>
        <v>179.90691413193761</v>
      </c>
      <c r="N52" s="11">
        <f t="shared" ref="N52" si="203">L52+M52</f>
        <v>312.82245123196765</v>
      </c>
      <c r="O52" s="71">
        <f t="shared" ref="O52" si="204">E51/2-1794*(U50+V50+W50-U52-V52-W52)/(0.976*E51)</f>
        <v>127.89155287182103</v>
      </c>
      <c r="P52" s="70">
        <f t="shared" ref="P52" si="205">E53/2+1794*(U52+V52+W52-U54-V54-W54)/(0.976*E53)</f>
        <v>153.98678895911516</v>
      </c>
      <c r="Q52" s="11">
        <f t="shared" ref="Q52" si="206">O52+P52</f>
        <v>281.87834183093617</v>
      </c>
      <c r="R52" s="31"/>
      <c r="S52" s="56">
        <v>671200.79</v>
      </c>
      <c r="T52" s="56">
        <v>1076515.977</v>
      </c>
      <c r="U52" s="18">
        <v>14.228</v>
      </c>
      <c r="V52" s="9">
        <v>6</v>
      </c>
      <c r="W52" s="59"/>
      <c r="X52" s="36"/>
      <c r="Y52" s="49"/>
      <c r="Z52" s="27"/>
      <c r="AA52" s="10" t="str">
        <f>IF(OR(O52&lt;100,P52&lt;100,Q52&lt;200,O52&gt;319,P52&gt;319,Q52&gt;525),"Check","Ok")</f>
        <v>Ok</v>
      </c>
      <c r="AB52" s="78"/>
      <c r="AC52" s="79"/>
    </row>
    <row r="53" spans="1:29" ht="21" x14ac:dyDescent="0.15">
      <c r="A53" s="20"/>
      <c r="B53" s="27"/>
      <c r="C53" s="27"/>
      <c r="D53" s="34"/>
      <c r="E53" s="53">
        <f t="shared" si="32"/>
        <v>199.2</v>
      </c>
      <c r="F53" s="33"/>
      <c r="G53" s="15"/>
      <c r="H53" s="16"/>
      <c r="I53" s="17"/>
      <c r="J53" s="15"/>
      <c r="K53" s="16"/>
      <c r="L53" s="17"/>
      <c r="M53" s="15"/>
      <c r="N53" s="16"/>
      <c r="O53" s="17"/>
      <c r="P53" s="15"/>
      <c r="Q53" s="16"/>
      <c r="R53" s="31" t="s">
        <v>110</v>
      </c>
      <c r="S53" s="56"/>
      <c r="T53" s="56"/>
      <c r="U53" s="18"/>
      <c r="V53" s="9"/>
      <c r="W53" s="22"/>
      <c r="X53" s="36"/>
      <c r="Y53" s="49"/>
      <c r="Z53" s="27"/>
      <c r="AA53" s="22"/>
      <c r="AB53" s="78"/>
      <c r="AC53" s="79"/>
    </row>
    <row r="54" spans="1:29" x14ac:dyDescent="0.15">
      <c r="A54" s="12">
        <f t="shared" si="45"/>
        <v>21</v>
      </c>
      <c r="B54" s="37" t="s">
        <v>55</v>
      </c>
      <c r="C54" s="37" t="s">
        <v>38</v>
      </c>
      <c r="D54" s="38" t="s">
        <v>54</v>
      </c>
      <c r="E54" s="55"/>
      <c r="F54" s="73">
        <f>SUM(E45:E53)</f>
        <v>1680.1000000000001</v>
      </c>
      <c r="G54" s="74">
        <f t="shared" si="46"/>
        <v>5415.7000000000007</v>
      </c>
      <c r="H54" s="19">
        <f t="shared" ref="H54" si="207">(ROUND(E53,1)+ROUND(E55,1))/2</f>
        <v>249.65</v>
      </c>
      <c r="I54" s="75">
        <f t="shared" ref="I54" si="208">J52</f>
        <v>199.2</v>
      </c>
      <c r="J54" s="74">
        <f t="shared" ref="J54" si="209">E55</f>
        <v>300.10000000000002</v>
      </c>
      <c r="K54" s="19">
        <f t="shared" ref="K54" si="210">ROUND(I54,1)+ROUND(J54,1)</f>
        <v>499.3</v>
      </c>
      <c r="L54" s="75">
        <f t="shared" ref="L54" si="211">E53/2-2649*(U52+V52+W52-U54-V54-W54)/(0.976*E53)</f>
        <v>19.293085868062377</v>
      </c>
      <c r="M54" s="74">
        <f t="shared" ref="M54" si="212">E55/2+2649*(U54+V54+W54-U56-V56-W56)/(0.976*E55)</f>
        <v>191.10124453051168</v>
      </c>
      <c r="N54" s="19">
        <f t="shared" ref="N54" si="213">L54+M54</f>
        <v>210.39433039857406</v>
      </c>
      <c r="O54" s="75">
        <f t="shared" ref="O54" si="214">E53/2-1794*(U52+V52+W52-U54-V54-W54)/(0.976*E53)</f>
        <v>45.213211040884829</v>
      </c>
      <c r="P54" s="74">
        <f t="shared" ref="P54" si="215">E55/2+1794*(U54+V54+W54-U56-V56-W56)/(0.976*E55)</f>
        <v>177.85140909314381</v>
      </c>
      <c r="Q54" s="19">
        <f t="shared" ref="Q54" si="216">O54+P54</f>
        <v>223.06462013402864</v>
      </c>
      <c r="R54" s="40"/>
      <c r="S54" s="51">
        <v>671198.51599999995</v>
      </c>
      <c r="T54" s="51">
        <v>1076715.1229999999</v>
      </c>
      <c r="U54" s="13">
        <v>14.334</v>
      </c>
      <c r="V54" s="39">
        <v>0</v>
      </c>
      <c r="W54" s="84"/>
      <c r="X54" s="85"/>
      <c r="Y54" s="86"/>
      <c r="Z54" s="37"/>
      <c r="AA54" s="88" t="str">
        <f>IF(OR(O54&lt;-600,P54&lt;-600,Q54&lt;-1000,O54&gt;600,P54&gt;600,Q54&gt;1000),"Check","Ok")</f>
        <v>Ok</v>
      </c>
      <c r="AB54" s="82"/>
      <c r="AC54" s="83"/>
    </row>
    <row r="55" spans="1:29" x14ac:dyDescent="0.15">
      <c r="A55" s="20"/>
      <c r="B55" s="27"/>
      <c r="C55" s="27"/>
      <c r="D55" s="34"/>
      <c r="E55" s="53">
        <f t="shared" si="32"/>
        <v>300.10000000000002</v>
      </c>
      <c r="F55" s="33"/>
      <c r="G55" s="15"/>
      <c r="H55" s="16"/>
      <c r="I55" s="17"/>
      <c r="J55" s="15"/>
      <c r="K55" s="16"/>
      <c r="L55" s="17"/>
      <c r="M55" s="15"/>
      <c r="N55" s="16"/>
      <c r="O55" s="17"/>
      <c r="P55" s="15"/>
      <c r="Q55" s="16"/>
      <c r="R55" s="31" t="s">
        <v>111</v>
      </c>
      <c r="S55" s="56"/>
      <c r="T55" s="56"/>
      <c r="U55" s="18"/>
      <c r="V55" s="9"/>
      <c r="W55" s="22"/>
      <c r="X55" s="36"/>
      <c r="Y55" s="49"/>
      <c r="Z55" s="27"/>
      <c r="AA55" s="22"/>
      <c r="AB55" s="78"/>
      <c r="AC55" s="79"/>
    </row>
    <row r="56" spans="1:29" x14ac:dyDescent="0.15">
      <c r="A56" s="12">
        <f>A54+1</f>
        <v>22</v>
      </c>
      <c r="B56" s="37" t="s">
        <v>82</v>
      </c>
      <c r="C56" s="37" t="s">
        <v>40</v>
      </c>
      <c r="D56" s="38" t="s">
        <v>83</v>
      </c>
      <c r="E56" s="55"/>
      <c r="F56" s="73">
        <f>SUM(E55)</f>
        <v>300.10000000000002</v>
      </c>
      <c r="G56" s="6">
        <f t="shared" si="46"/>
        <v>5715.8000000000011</v>
      </c>
      <c r="H56" s="19">
        <f t="shared" ref="H56" si="217">(ROUND(E55,1)+ROUND(E57,1))/2</f>
        <v>266.10000000000002</v>
      </c>
      <c r="I56" s="8">
        <f t="shared" ref="I56" si="218">J54</f>
        <v>300.10000000000002</v>
      </c>
      <c r="J56" s="6">
        <f t="shared" ref="J56" si="219">E57</f>
        <v>232.1</v>
      </c>
      <c r="K56" s="7">
        <f t="shared" ref="K56" si="220">ROUND(I56,1)+ROUND(J56,1)</f>
        <v>532.20000000000005</v>
      </c>
      <c r="L56" s="8">
        <f t="shared" ref="L56" si="221">E55/2-2649*(U54+V54+W54-U56-V56-W56)/(0.976*E55)</f>
        <v>108.99875546948833</v>
      </c>
      <c r="M56" s="6">
        <f t="shared" ref="M56" si="222">E57/2+2649*(U56+V56+W56-U58-V58-W58)/(0.976*E57)</f>
        <v>9.051400258509247</v>
      </c>
      <c r="N56" s="7">
        <f t="shared" ref="N56" si="223">L56+M56</f>
        <v>118.05015572799758</v>
      </c>
      <c r="O56" s="8">
        <f t="shared" ref="O56" si="224">E55/2-1794*(U54+V54+W54-U56-V56-W56)/(0.976*E55)</f>
        <v>122.24859090685619</v>
      </c>
      <c r="P56" s="6">
        <f t="shared" ref="P56" si="225">E57/2+1794*(U56+V56+W56-U58-V58-W58)/(0.976*E57)</f>
        <v>43.586622145626862</v>
      </c>
      <c r="Q56" s="7">
        <f t="shared" ref="Q56" si="226">O56+P56</f>
        <v>165.83521305248306</v>
      </c>
      <c r="R56" s="77"/>
      <c r="S56" s="51">
        <v>671046.07700000005</v>
      </c>
      <c r="T56" s="51">
        <v>1076973.595</v>
      </c>
      <c r="U56" s="13">
        <v>9.7949999999999999</v>
      </c>
      <c r="V56" s="39">
        <v>0</v>
      </c>
      <c r="W56" s="84"/>
      <c r="X56" s="85"/>
      <c r="Y56" s="86"/>
      <c r="Z56" s="37"/>
      <c r="AA56" s="52" t="str">
        <f>IF(OR(O56&lt;-600,P56&lt;-600,Q56&lt;-1000,O56&gt;600,P56&gt;600,Q56&gt;1000),"Check","Ok")</f>
        <v>Ok</v>
      </c>
      <c r="AB56" s="82"/>
      <c r="AC56" s="83"/>
    </row>
    <row r="57" spans="1:29" x14ac:dyDescent="0.15">
      <c r="A57" s="20"/>
      <c r="B57" s="27"/>
      <c r="C57" s="27"/>
      <c r="D57" s="34"/>
      <c r="E57" s="53">
        <f t="shared" si="32"/>
        <v>232.1</v>
      </c>
      <c r="F57" s="33"/>
      <c r="G57" s="15"/>
      <c r="H57" s="16"/>
      <c r="I57" s="17"/>
      <c r="J57" s="15"/>
      <c r="K57" s="16"/>
      <c r="L57" s="17"/>
      <c r="M57" s="15"/>
      <c r="N57" s="16"/>
      <c r="O57" s="17"/>
      <c r="P57" s="15"/>
      <c r="Q57" s="16"/>
      <c r="R57" s="31" t="s">
        <v>112</v>
      </c>
      <c r="S57" s="56"/>
      <c r="T57" s="56"/>
      <c r="U57" s="18"/>
      <c r="V57" s="9"/>
      <c r="W57" s="22"/>
      <c r="X57" s="36"/>
      <c r="Y57" s="49"/>
      <c r="Z57" s="27"/>
      <c r="AA57" s="22"/>
      <c r="AB57" s="78"/>
      <c r="AC57" s="79"/>
    </row>
    <row r="58" spans="1:29" x14ac:dyDescent="0.15">
      <c r="A58" s="12">
        <f t="shared" ref="A58" si="227">A56+1</f>
        <v>23</v>
      </c>
      <c r="B58" s="37" t="s">
        <v>84</v>
      </c>
      <c r="C58" s="37" t="s">
        <v>85</v>
      </c>
      <c r="D58" s="38" t="s">
        <v>86</v>
      </c>
      <c r="E58" s="55"/>
      <c r="F58" s="73">
        <f>SUM(E57)</f>
        <v>232.1</v>
      </c>
      <c r="G58" s="74">
        <f t="shared" si="46"/>
        <v>5947.9000000000015</v>
      </c>
      <c r="H58" s="19">
        <f t="shared" ref="H58" si="228">(ROUND(E57,1)+ROUND(E59,1))/2</f>
        <v>279.8</v>
      </c>
      <c r="I58" s="75">
        <f t="shared" ref="I58" si="229">J56</f>
        <v>232.1</v>
      </c>
      <c r="J58" s="74">
        <f t="shared" ref="J58" si="230">E59</f>
        <v>327.5</v>
      </c>
      <c r="K58" s="19">
        <f t="shared" ref="K58" si="231">ROUND(I58,1)+ROUND(J58,1)</f>
        <v>559.6</v>
      </c>
      <c r="L58" s="75">
        <f t="shared" ref="L58" si="232">E57/2-2649*(U56+V56+W56-U58-V58-W58)/(0.976*E57)</f>
        <v>223.04859974149076</v>
      </c>
      <c r="M58" s="74">
        <f t="shared" ref="M58" si="233">E59/2+2649*(U58+V58+W58-U60-V60-W60)/(0.976*E59)</f>
        <v>226.68488299336752</v>
      </c>
      <c r="N58" s="19">
        <f t="shared" ref="N58" si="234">L58+M58</f>
        <v>449.73348273485828</v>
      </c>
      <c r="O58" s="75">
        <f t="shared" ref="O58" si="235">E57/2-1794*(U56+V56+W56-U58-V58-W58)/(0.976*E57)</f>
        <v>188.51337785437312</v>
      </c>
      <c r="P58" s="74">
        <f t="shared" ref="P58" si="236">E59/2+1794*(U58+V58+W58-U60-V60-W60)/(0.976*E59)</f>
        <v>206.37181203854337</v>
      </c>
      <c r="Q58" s="19">
        <f t="shared" ref="Q58" si="237">O58+P58</f>
        <v>394.88518989291651</v>
      </c>
      <c r="R58" s="40"/>
      <c r="S58" s="51">
        <v>670934.72499999998</v>
      </c>
      <c r="T58" s="51">
        <v>1077177.183</v>
      </c>
      <c r="U58" s="13">
        <v>9.9450000000000003</v>
      </c>
      <c r="V58" s="39">
        <v>9</v>
      </c>
      <c r="W58" s="84"/>
      <c r="X58" s="85"/>
      <c r="Y58" s="86"/>
      <c r="Z58" s="37"/>
      <c r="AA58" s="52" t="str">
        <f>IF(OR(O58&lt;-600,P58&lt;-600,Q58&lt;-1000,O58&gt;600,P58&gt;600,Q58&gt;1000),"Check","Ok")</f>
        <v>Ok</v>
      </c>
      <c r="AB58" s="82"/>
      <c r="AC58" s="83"/>
    </row>
    <row r="59" spans="1:29" ht="21" x14ac:dyDescent="0.15">
      <c r="A59" s="20"/>
      <c r="B59" s="27"/>
      <c r="C59" s="27"/>
      <c r="D59" s="34"/>
      <c r="E59" s="53">
        <f t="shared" ref="E59:E63" si="238">ROUND(SQRT((S58-S60)^2+(T58-T60)^2),1)</f>
        <v>327.5</v>
      </c>
      <c r="F59" s="33"/>
      <c r="G59" s="15"/>
      <c r="H59" s="16"/>
      <c r="I59" s="17"/>
      <c r="J59" s="15"/>
      <c r="K59" s="16"/>
      <c r="L59" s="17"/>
      <c r="M59" s="15"/>
      <c r="N59" s="16"/>
      <c r="O59" s="17"/>
      <c r="P59" s="15"/>
      <c r="Q59" s="16"/>
      <c r="R59" s="31" t="s">
        <v>113</v>
      </c>
      <c r="S59" s="56"/>
      <c r="T59" s="56"/>
      <c r="U59" s="18"/>
      <c r="V59" s="9"/>
      <c r="W59" s="22"/>
      <c r="X59" s="36"/>
      <c r="Y59" s="49"/>
      <c r="Z59" s="27"/>
      <c r="AA59" s="22"/>
      <c r="AB59" s="78"/>
      <c r="AC59" s="79"/>
    </row>
    <row r="60" spans="1:29" x14ac:dyDescent="0.15">
      <c r="A60" s="12">
        <f t="shared" ref="A60:A64" si="239">A58+1</f>
        <v>24</v>
      </c>
      <c r="B60" s="89" t="s">
        <v>87</v>
      </c>
      <c r="C60" s="37" t="s">
        <v>39</v>
      </c>
      <c r="D60" s="38" t="s">
        <v>88</v>
      </c>
      <c r="E60" s="55"/>
      <c r="F60" s="73">
        <f>SUM(E59)</f>
        <v>327.5</v>
      </c>
      <c r="G60" s="74">
        <f t="shared" ref="G60:G64" si="240">G58+E59</f>
        <v>6275.4000000000015</v>
      </c>
      <c r="H60" s="19">
        <f t="shared" ref="H60" si="241">(ROUND(E59,1)+ROUND(E61,1))/2</f>
        <v>226.4</v>
      </c>
      <c r="I60" s="75">
        <f t="shared" ref="I60" si="242">J58</f>
        <v>327.5</v>
      </c>
      <c r="J60" s="74">
        <f t="shared" ref="J60" si="243">E61</f>
        <v>125.3</v>
      </c>
      <c r="K60" s="19">
        <f t="shared" ref="K60" si="244">ROUND(I60,1)+ROUND(J60,1)</f>
        <v>452.8</v>
      </c>
      <c r="L60" s="75">
        <f t="shared" ref="L60" si="245">E59/2-2649*(U58+V58+W58-U60-V60-W60)/(0.976*E59)</f>
        <v>100.81511700663248</v>
      </c>
      <c r="M60" s="74">
        <f t="shared" ref="M60" si="246">E61/2+2649*(U60+V60+W60-U62-V62-W62)/(0.976*E61)</f>
        <v>64.44787362788324</v>
      </c>
      <c r="N60" s="19">
        <f t="shared" ref="N60" si="247">L60+M60</f>
        <v>165.26299063451572</v>
      </c>
      <c r="O60" s="75">
        <f t="shared" ref="O60" si="248">E59/2-1794*(U58+V58+W58-U60-V60-W60)/(0.976*E59)</f>
        <v>121.12818796145663</v>
      </c>
      <c r="P60" s="74">
        <f t="shared" ref="P60" si="249">E61/2+1794*(U60+V60+W60-U62-V62-W62)/(0.976*E61)</f>
        <v>63.867585990344487</v>
      </c>
      <c r="Q60" s="19">
        <f t="shared" ref="Q60" si="250">O60+P60</f>
        <v>184.99577395180111</v>
      </c>
      <c r="R60" s="40"/>
      <c r="S60" s="51">
        <v>670664.42599999998</v>
      </c>
      <c r="T60" s="51">
        <v>1077362.1580000001</v>
      </c>
      <c r="U60" s="13">
        <v>11.351000000000001</v>
      </c>
      <c r="V60" s="39">
        <v>0</v>
      </c>
      <c r="W60" s="84"/>
      <c r="X60" s="85"/>
      <c r="Y60" s="86"/>
      <c r="Z60" s="37"/>
      <c r="AA60" s="52" t="str">
        <f>IF(OR(O60&lt;-600,P60&lt;-600,Q60&lt;-1000,O60&gt;600,P60&gt;600,Q60&gt;1000),"Check","Ok")</f>
        <v>Ok</v>
      </c>
      <c r="AB60" s="82"/>
      <c r="AC60" s="83"/>
    </row>
    <row r="61" spans="1:29" x14ac:dyDescent="0.15">
      <c r="A61" s="20"/>
      <c r="B61" s="27"/>
      <c r="C61" s="27"/>
      <c r="D61" s="34"/>
      <c r="E61" s="53">
        <f t="shared" si="238"/>
        <v>125.3</v>
      </c>
      <c r="F61" s="33"/>
      <c r="G61" s="15"/>
      <c r="H61" s="16"/>
      <c r="I61" s="17"/>
      <c r="J61" s="15"/>
      <c r="K61" s="16"/>
      <c r="L61" s="17"/>
      <c r="M61" s="15"/>
      <c r="N61" s="16"/>
      <c r="O61" s="17"/>
      <c r="P61" s="15"/>
      <c r="Q61" s="16"/>
      <c r="R61" s="31" t="s">
        <v>111</v>
      </c>
      <c r="S61" s="56"/>
      <c r="T61" s="56"/>
      <c r="U61" s="18"/>
      <c r="V61" s="9"/>
      <c r="W61" s="22"/>
      <c r="X61" s="36"/>
      <c r="Y61" s="49"/>
      <c r="Z61" s="27"/>
      <c r="AA61" s="22"/>
      <c r="AB61" s="78"/>
      <c r="AC61" s="79"/>
    </row>
    <row r="62" spans="1:29" x14ac:dyDescent="0.15">
      <c r="A62" s="12">
        <f t="shared" si="239"/>
        <v>25</v>
      </c>
      <c r="B62" s="37" t="s">
        <v>89</v>
      </c>
      <c r="C62" s="37" t="s">
        <v>38</v>
      </c>
      <c r="D62" s="38" t="s">
        <v>90</v>
      </c>
      <c r="E62" s="55"/>
      <c r="F62" s="73">
        <f>SUM(E61)</f>
        <v>125.3</v>
      </c>
      <c r="G62" s="74">
        <f t="shared" si="240"/>
        <v>6400.7000000000016</v>
      </c>
      <c r="H62" s="19">
        <f t="shared" ref="H62" si="251">(ROUND(E61,1)+ROUND(E63,1))/2</f>
        <v>81.400000000000006</v>
      </c>
      <c r="I62" s="75">
        <f t="shared" ref="I62" si="252">J60</f>
        <v>125.3</v>
      </c>
      <c r="J62" s="74">
        <f t="shared" ref="J62" si="253">E63</f>
        <v>37.5</v>
      </c>
      <c r="K62" s="19">
        <f t="shared" ref="K62" si="254">ROUND(I62,1)+ROUND(J62,1)</f>
        <v>162.80000000000001</v>
      </c>
      <c r="L62" s="75">
        <f t="shared" ref="L62" si="255">E61/2-2649*(U60+V60+W60-U62-V62-W62)/(0.976*E61)</f>
        <v>60.85212637211675</v>
      </c>
      <c r="M62" s="74">
        <f t="shared" ref="M62" si="256">E63/2+2649*(U62+V62+W62-U64-V64-W64)/(0.976*E63)</f>
        <v>18.75</v>
      </c>
      <c r="N62" s="19">
        <f t="shared" ref="N62" si="257">L62+M62</f>
        <v>79.602126372116743</v>
      </c>
      <c r="O62" s="75">
        <f t="shared" ref="O62" si="258">E61/2-1794*(U60+V60+W60-U62-V62-W62)/(0.976*E61)</f>
        <v>61.43241400965551</v>
      </c>
      <c r="P62" s="74">
        <f t="shared" ref="P62" si="259">E63/2+1794*(U62+V62+W62-U64-V64-W64)/(0.976*E63)</f>
        <v>18.75</v>
      </c>
      <c r="Q62" s="19">
        <f t="shared" ref="Q62" si="260">O62+P62</f>
        <v>80.182414009655503</v>
      </c>
      <c r="R62" s="40"/>
      <c r="S62" s="51">
        <v>670540.43099999998</v>
      </c>
      <c r="T62" s="51">
        <v>1077380.2379999999</v>
      </c>
      <c r="U62" s="13">
        <v>11.268000000000001</v>
      </c>
      <c r="V62" s="39">
        <v>0</v>
      </c>
      <c r="W62" s="84"/>
      <c r="X62" s="85"/>
      <c r="Y62" s="86"/>
      <c r="Z62" s="37"/>
      <c r="AA62" s="52" t="str">
        <f>IF(OR(O62&lt;-600,P62&lt;-600,Q62&lt;-1000,O62&gt;600,P62&gt;600,Q62&gt;1000),"Check","Ok")</f>
        <v>Ok</v>
      </c>
      <c r="AB62" s="82"/>
      <c r="AC62" s="83"/>
    </row>
    <row r="63" spans="1:29" x14ac:dyDescent="0.15">
      <c r="A63" s="20"/>
      <c r="B63" s="27"/>
      <c r="C63" s="27"/>
      <c r="D63" s="34"/>
      <c r="E63" s="53">
        <f t="shared" si="238"/>
        <v>37.5</v>
      </c>
      <c r="F63" s="33"/>
      <c r="G63" s="15"/>
      <c r="H63" s="16"/>
      <c r="I63" s="17"/>
      <c r="J63" s="15"/>
      <c r="K63" s="16"/>
      <c r="L63" s="17"/>
      <c r="M63" s="15"/>
      <c r="N63" s="16"/>
      <c r="O63" s="17"/>
      <c r="P63" s="15"/>
      <c r="Q63" s="16"/>
      <c r="R63" s="31"/>
      <c r="S63" s="56"/>
      <c r="T63" s="56"/>
      <c r="U63" s="18"/>
      <c r="V63" s="9"/>
      <c r="W63" s="22"/>
      <c r="X63" s="36"/>
      <c r="Y63" s="49"/>
      <c r="Z63" s="27"/>
      <c r="AA63" s="22"/>
      <c r="AB63" s="78"/>
      <c r="AC63" s="79"/>
    </row>
    <row r="64" spans="1:29" x14ac:dyDescent="0.15">
      <c r="A64" s="12">
        <f t="shared" si="239"/>
        <v>26</v>
      </c>
      <c r="B64" s="37" t="s">
        <v>91</v>
      </c>
      <c r="C64" s="37" t="s">
        <v>38</v>
      </c>
      <c r="D64" s="38"/>
      <c r="E64" s="55"/>
      <c r="F64" s="73">
        <f>SUM(E63)</f>
        <v>37.5</v>
      </c>
      <c r="G64" s="74">
        <f t="shared" si="240"/>
        <v>6438.2000000000016</v>
      </c>
      <c r="H64" s="19">
        <f t="shared" ref="H64" si="261">(ROUND(E63,1)+ROUND(E65,1))/2</f>
        <v>18.75</v>
      </c>
      <c r="I64" s="75">
        <f t="shared" ref="I64" si="262">J62</f>
        <v>37.5</v>
      </c>
      <c r="J64" s="74">
        <f t="shared" ref="J64" si="263">E65</f>
        <v>0</v>
      </c>
      <c r="K64" s="19">
        <f t="shared" ref="K64" si="264">ROUND(I64,1)+ROUND(J64,1)</f>
        <v>37.5</v>
      </c>
      <c r="L64" s="75">
        <f t="shared" ref="L64" si="265">E63/2-2649*(U62+V62+W62-U64-V64-W64)/(0.976*E63)</f>
        <v>18.75</v>
      </c>
      <c r="M64" s="74">
        <v>0</v>
      </c>
      <c r="N64" s="19">
        <f t="shared" ref="N64" si="266">L64+M64</f>
        <v>18.75</v>
      </c>
      <c r="O64" s="75">
        <f t="shared" ref="O64" si="267">E63/2-1794*(U62+V62+W62-U64-V64-W64)/(0.976*E63)</f>
        <v>18.75</v>
      </c>
      <c r="P64" s="74">
        <v>0</v>
      </c>
      <c r="Q64" s="19">
        <f t="shared" ref="Q64" si="268">O64+P64</f>
        <v>18.75</v>
      </c>
      <c r="R64" s="77"/>
      <c r="S64" s="51">
        <v>670545.84699999995</v>
      </c>
      <c r="T64" s="51">
        <v>1077417.3770000001</v>
      </c>
      <c r="U64" s="13">
        <v>11.268000000000001</v>
      </c>
      <c r="V64" s="39">
        <v>0</v>
      </c>
      <c r="W64" s="84"/>
      <c r="X64" s="85"/>
      <c r="Y64" s="86"/>
      <c r="Z64" s="37"/>
      <c r="AA64" s="52" t="str">
        <f>IF(OR(O64&lt;-600,P64&lt;-600,Q64&lt;-1000,O64&gt;600,P64&gt;600,Q64&gt;1000),"Check","Ok")</f>
        <v>Ok</v>
      </c>
      <c r="AB64" s="82"/>
      <c r="AC64" s="83"/>
    </row>
    <row r="66" spans="1:29" ht="13.5" thickBot="1" x14ac:dyDescent="0.25"/>
    <row r="67" spans="1:29" x14ac:dyDescent="0.2">
      <c r="A67" s="105">
        <v>0</v>
      </c>
      <c r="B67" s="29" t="s">
        <v>134</v>
      </c>
      <c r="C67" s="29" t="s">
        <v>135</v>
      </c>
      <c r="D67" s="62"/>
      <c r="E67" s="30"/>
      <c r="F67" s="43">
        <v>0</v>
      </c>
      <c r="G67" s="63">
        <v>0</v>
      </c>
      <c r="H67" s="64">
        <f>(ROUND(0,1)+ROUND(E68,1))/2</f>
        <v>9.85</v>
      </c>
      <c r="I67" s="65">
        <v>0</v>
      </c>
      <c r="J67" s="63">
        <f t="shared" ref="J67" si="269">E68</f>
        <v>19.7</v>
      </c>
      <c r="K67" s="64">
        <f t="shared" ref="K67" si="270">ROUND(I67,1)+ROUND(J67,1)</f>
        <v>19.7</v>
      </c>
      <c r="L67" s="65">
        <v>0</v>
      </c>
      <c r="M67" s="63">
        <f>E68/2+2649*(U67+V67+W67-U69-V69-W69)/(0.976*E68)</f>
        <v>50.686086377631966</v>
      </c>
      <c r="N67" s="64">
        <f t="shared" ref="N67" si="271">L67+M67</f>
        <v>50.686086377631966</v>
      </c>
      <c r="O67" s="65">
        <v>0</v>
      </c>
      <c r="P67" s="63">
        <f>E68/2+1794*(U67+V67+W67-U69-V69-W69)/(0.976*E68)</f>
        <v>37.505696097195823</v>
      </c>
      <c r="Q67" s="64">
        <f t="shared" ref="Q67" si="272">O67+P67</f>
        <v>37.505696097195823</v>
      </c>
      <c r="R67" s="76" t="s">
        <v>141</v>
      </c>
      <c r="S67" s="66">
        <v>670732.35060000001</v>
      </c>
      <c r="T67" s="66">
        <v>1071502.0978000001</v>
      </c>
      <c r="U67" s="67">
        <v>27.976600000000001</v>
      </c>
      <c r="V67" s="32">
        <v>0</v>
      </c>
      <c r="W67" s="69"/>
      <c r="X67" s="35"/>
      <c r="Y67" s="48"/>
      <c r="Z67" s="29"/>
      <c r="AA67" s="68" t="str">
        <f>IF(OR(O67&lt;-600,P67&lt;-600,Q67&lt;-1000,O67&gt;600,P67&gt;600,Q67&gt;1000),"Check","Ok")</f>
        <v>Ok</v>
      </c>
      <c r="AB67" s="80"/>
      <c r="AC67" s="81"/>
    </row>
    <row r="68" spans="1:29" x14ac:dyDescent="0.2">
      <c r="A68" s="165"/>
      <c r="B68" s="166"/>
      <c r="C68" s="166"/>
      <c r="D68" s="167"/>
      <c r="E68" s="168">
        <f>ROUND(SQRT((S67-S69)^2+(T67-T69)^2),1)</f>
        <v>19.7</v>
      </c>
      <c r="F68" s="169"/>
      <c r="G68" s="170"/>
      <c r="H68" s="171"/>
      <c r="I68" s="172"/>
      <c r="J68" s="170"/>
      <c r="K68" s="171"/>
      <c r="L68" s="172"/>
      <c r="M68" s="170"/>
      <c r="N68" s="171"/>
      <c r="O68" s="172"/>
      <c r="P68" s="170"/>
      <c r="Q68" s="171"/>
      <c r="R68" s="173"/>
      <c r="S68" s="174"/>
      <c r="T68" s="174"/>
      <c r="U68" s="175"/>
      <c r="V68" s="176"/>
      <c r="W68" s="177"/>
      <c r="X68" s="178"/>
      <c r="Y68" s="179"/>
      <c r="Z68" s="166"/>
      <c r="AA68" s="177"/>
      <c r="AB68" s="180"/>
      <c r="AC68" s="181"/>
    </row>
    <row r="69" spans="1:29" x14ac:dyDescent="0.2">
      <c r="A69" s="182" t="s">
        <v>125</v>
      </c>
      <c r="B69" s="37" t="s">
        <v>124</v>
      </c>
      <c r="C69" s="37" t="s">
        <v>38</v>
      </c>
      <c r="D69" s="38" t="s">
        <v>143</v>
      </c>
      <c r="E69" s="183"/>
      <c r="F69" s="73">
        <f>SUM(E68)</f>
        <v>19.7</v>
      </c>
      <c r="G69" s="6">
        <f t="shared" ref="G69:G71" si="273">G67+E68</f>
        <v>19.7</v>
      </c>
      <c r="H69" s="7">
        <f>(ROUND(388,1)+ROUND(E70,1))/2</f>
        <v>253.3</v>
      </c>
      <c r="I69" s="8">
        <f t="shared" ref="I69:I71" si="274">J67</f>
        <v>19.7</v>
      </c>
      <c r="J69" s="6">
        <f t="shared" ref="J69" si="275">E70</f>
        <v>118.6</v>
      </c>
      <c r="K69" s="7">
        <f t="shared" ref="K69" si="276">ROUND(I69,1)+ROUND(J69,1)</f>
        <v>138.29999999999998</v>
      </c>
      <c r="L69" s="8">
        <f>E68/2-2649*(U67+V67+W67-U69-V69-W69)/(0.976*E68)</f>
        <v>-30.986086377631963</v>
      </c>
      <c r="M69" s="6">
        <f>E70/2+2649*(U69+V69+W69-U71-V71-W71)/(0.976*E70)</f>
        <v>-34.088362867331995</v>
      </c>
      <c r="N69" s="7">
        <f t="shared" ref="N69" si="277">L69+M69</f>
        <v>-65.074449244963958</v>
      </c>
      <c r="O69" s="8">
        <f>E68/2-1794*(U67+V67+W67-U69-V69-W69)/(0.976*E68)</f>
        <v>-17.805696097195828</v>
      </c>
      <c r="P69" s="6">
        <f>E70/2+1794*(U69+V69+W69-U71-V71-W71)/(0.976*E70)</f>
        <v>-3.9460260415226927</v>
      </c>
      <c r="Q69" s="7">
        <f t="shared" ref="Q69" si="278">O69+P69</f>
        <v>-21.75172213871852</v>
      </c>
      <c r="R69" s="77" t="s">
        <v>132</v>
      </c>
      <c r="S69" s="184">
        <v>670724.84609999997</v>
      </c>
      <c r="T69" s="184">
        <v>1071520.3107</v>
      </c>
      <c r="U69" s="185">
        <v>27.680199999999999</v>
      </c>
      <c r="V69" s="39">
        <v>0</v>
      </c>
      <c r="W69" s="84"/>
      <c r="X69" s="85"/>
      <c r="Y69" s="86"/>
      <c r="Z69" s="37"/>
      <c r="AA69" s="88" t="str">
        <f>IF(OR(O69&lt;-600,P69&lt;-600,Q69&lt;-1000,O69&gt;600,P69&gt;600,Q69&gt;1000),"Check","Ok")</f>
        <v>Ok</v>
      </c>
      <c r="AB69" s="82"/>
      <c r="AC69" s="83"/>
    </row>
    <row r="70" spans="1:29" x14ac:dyDescent="0.2">
      <c r="A70" s="20"/>
      <c r="B70" s="27"/>
      <c r="C70" s="27"/>
      <c r="D70" s="21"/>
      <c r="E70" s="53">
        <f>ROUND(SQRT((S69-S71)^2+(T69-T71)^2),1)</f>
        <v>118.6</v>
      </c>
      <c r="F70" s="47"/>
      <c r="G70" s="15"/>
      <c r="H70" s="16"/>
      <c r="I70" s="17"/>
      <c r="J70" s="15"/>
      <c r="K70" s="16"/>
      <c r="L70" s="17"/>
      <c r="M70" s="15"/>
      <c r="N70" s="16"/>
      <c r="O70" s="17"/>
      <c r="P70" s="15"/>
      <c r="Q70" s="16"/>
      <c r="R70" s="31"/>
      <c r="S70" s="50"/>
      <c r="T70" s="50"/>
      <c r="U70" s="18"/>
      <c r="V70" s="9"/>
      <c r="W70" s="22"/>
      <c r="X70" s="36"/>
      <c r="Y70" s="49"/>
      <c r="Z70" s="27"/>
      <c r="AA70" s="22"/>
      <c r="AB70" s="78"/>
      <c r="AC70" s="79"/>
    </row>
    <row r="71" spans="1:29" x14ac:dyDescent="0.15">
      <c r="A71" s="106">
        <v>2</v>
      </c>
      <c r="B71" s="89">
        <v>228</v>
      </c>
      <c r="C71" s="37" t="s">
        <v>126</v>
      </c>
      <c r="D71" s="38" t="s">
        <v>144</v>
      </c>
      <c r="E71" s="55"/>
      <c r="F71" s="73">
        <f>SUM(E70)</f>
        <v>118.6</v>
      </c>
      <c r="G71" s="6">
        <f t="shared" si="273"/>
        <v>138.29999999999998</v>
      </c>
      <c r="H71" s="19">
        <f t="shared" ref="H71" si="279">(ROUND(E70,1)+ROUND(E72,1))/2</f>
        <v>148.30000000000001</v>
      </c>
      <c r="I71" s="8">
        <f t="shared" si="274"/>
        <v>118.6</v>
      </c>
      <c r="J71" s="6">
        <f t="shared" ref="J71" si="280">E72</f>
        <v>178</v>
      </c>
      <c r="K71" s="7">
        <f t="shared" ref="K71" si="281">ROUND(I71,1)+ROUND(J71,1)</f>
        <v>296.60000000000002</v>
      </c>
      <c r="L71" s="8">
        <f>E70/2-2649*(U69+V69+W69-U71-V71-W71)/(0.976*E70)</f>
        <v>152.68836286733199</v>
      </c>
      <c r="M71" s="6">
        <f>E72/2+2649*(U71+V71+W71-U73-V73-W73)/(0.976*E72)</f>
        <v>44.491164348867187</v>
      </c>
      <c r="N71" s="7">
        <f t="shared" ref="N71" si="282">L71+M71</f>
        <v>197.17952721619918</v>
      </c>
      <c r="O71" s="8">
        <f>E70/2-1794*(U69+V69+W69-U71-V71-W71)/(0.976*E70)</f>
        <v>122.54602604152268</v>
      </c>
      <c r="P71" s="6">
        <f>E72/2+1794*(U71+V71+W71-U73-V73-W73)/(0.976*E72)</f>
        <v>58.856983330263397</v>
      </c>
      <c r="Q71" s="7">
        <f t="shared" ref="Q71" si="283">O71+P71</f>
        <v>181.40300937178608</v>
      </c>
      <c r="R71" s="77"/>
      <c r="S71" s="51">
        <v>670643.08479999995</v>
      </c>
      <c r="T71" s="51">
        <v>1071606.2760999999</v>
      </c>
      <c r="U71" s="13">
        <v>28.760999999999999</v>
      </c>
      <c r="V71" s="39">
        <v>3</v>
      </c>
      <c r="W71" s="84"/>
      <c r="X71" s="85"/>
      <c r="Y71" s="86"/>
      <c r="Z71" s="37"/>
      <c r="AA71" s="52" t="str">
        <f>IF(OR(O71&lt;-600,P71&lt;-600,Q71&lt;-1000,O71&gt;600,P71&gt;600,Q71&gt;1000),"Check","Ok")</f>
        <v>Ok</v>
      </c>
      <c r="AB71" s="82"/>
      <c r="AC71" s="83"/>
    </row>
    <row r="72" spans="1:29" x14ac:dyDescent="0.15">
      <c r="A72" s="20"/>
      <c r="B72" s="27"/>
      <c r="C72" s="27"/>
      <c r="D72" s="34"/>
      <c r="E72" s="53">
        <f t="shared" ref="E72" si="284">ROUND(SQRT((S71-S73)^2+(T71-T73)^2),1)</f>
        <v>178</v>
      </c>
      <c r="F72" s="33"/>
      <c r="G72" s="15"/>
      <c r="H72" s="16"/>
      <c r="I72" s="17"/>
      <c r="J72" s="15"/>
      <c r="K72" s="16"/>
      <c r="L72" s="17"/>
      <c r="M72" s="15"/>
      <c r="N72" s="16"/>
      <c r="O72" s="17"/>
      <c r="P72" s="15"/>
      <c r="Q72" s="16"/>
      <c r="R72" s="31"/>
      <c r="S72" s="56"/>
      <c r="T72" s="56"/>
      <c r="U72" s="18"/>
      <c r="V72" s="9"/>
      <c r="W72" s="22"/>
      <c r="X72" s="36"/>
      <c r="Y72" s="49"/>
      <c r="Z72" s="27"/>
      <c r="AA72" s="22"/>
      <c r="AB72" s="78"/>
      <c r="AC72" s="79"/>
    </row>
    <row r="73" spans="1:29" ht="13.5" thickBot="1" x14ac:dyDescent="0.2">
      <c r="A73" s="107">
        <v>3</v>
      </c>
      <c r="B73" s="90">
        <v>227</v>
      </c>
      <c r="C73" s="91" t="s">
        <v>40</v>
      </c>
      <c r="D73" s="92" t="s">
        <v>75</v>
      </c>
      <c r="E73" s="93"/>
      <c r="F73" s="94">
        <f>SUM(E72)</f>
        <v>178</v>
      </c>
      <c r="G73" s="95">
        <f t="shared" ref="G73" si="285">G71+E72</f>
        <v>316.29999999999995</v>
      </c>
      <c r="H73" s="96">
        <f t="shared" ref="H73" si="286">(ROUND(E72,1)+ROUND(E74,1))/2</f>
        <v>89</v>
      </c>
      <c r="I73" s="97">
        <f t="shared" ref="I73" si="287">J71</f>
        <v>178</v>
      </c>
      <c r="J73" s="95">
        <f t="shared" ref="J73" si="288">E74</f>
        <v>0</v>
      </c>
      <c r="K73" s="96">
        <f t="shared" ref="K73" si="289">ROUND(I73,1)+ROUND(J73,1)</f>
        <v>178</v>
      </c>
      <c r="L73" s="97">
        <f t="shared" ref="L73" si="290">E72/2-2649*(U71+V71+W71-U73-V73-W73)/(0.976*E72)</f>
        <v>133.50883565113281</v>
      </c>
      <c r="M73" s="95">
        <v>7</v>
      </c>
      <c r="N73" s="96">
        <f t="shared" ref="N73" si="291">L73+M73</f>
        <v>140.50883565113281</v>
      </c>
      <c r="O73" s="97">
        <f t="shared" ref="O73" si="292">E72/2-1794*(U71+V71+W71-U73-V73-W73)/(0.976*E72)</f>
        <v>119.1430166697366</v>
      </c>
      <c r="P73" s="95">
        <v>35.5</v>
      </c>
      <c r="Q73" s="96">
        <f t="shared" ref="Q73" si="293">O73+P73</f>
        <v>154.6430166697366</v>
      </c>
      <c r="R73" s="98"/>
      <c r="S73" s="99">
        <v>670671.45299999998</v>
      </c>
      <c r="T73" s="99">
        <v>1071782.024</v>
      </c>
      <c r="U73" s="100">
        <v>34.68</v>
      </c>
      <c r="V73" s="101">
        <v>0</v>
      </c>
      <c r="W73" s="126"/>
      <c r="X73" s="127"/>
      <c r="Y73" s="128"/>
      <c r="Z73" s="91"/>
      <c r="AA73" s="102" t="str">
        <f>IF(OR(O73&lt;-600,P73&lt;-600,Q73&lt;-1000,O73&gt;600,P73&gt;600,Q73&gt;1000),"Check","Ok")</f>
        <v>Ok</v>
      </c>
      <c r="AB73" s="103"/>
      <c r="AC73" s="104"/>
    </row>
    <row r="74" spans="1:29" ht="13.5" thickBot="1" x14ac:dyDescent="0.25"/>
    <row r="75" spans="1:29" ht="13.5" thickBot="1" x14ac:dyDescent="0.2">
      <c r="A75" s="108" t="s">
        <v>127</v>
      </c>
      <c r="B75" s="109" t="s">
        <v>128</v>
      </c>
      <c r="C75" s="110" t="s">
        <v>129</v>
      </c>
      <c r="D75" s="111"/>
      <c r="E75" s="112"/>
      <c r="F75" s="113"/>
      <c r="G75" s="114"/>
      <c r="H75" s="115"/>
      <c r="I75" s="116"/>
      <c r="J75" s="114"/>
      <c r="K75" s="115"/>
      <c r="L75" s="116"/>
      <c r="M75" s="114"/>
      <c r="N75" s="115"/>
      <c r="O75" s="116"/>
      <c r="P75" s="114"/>
      <c r="Q75" s="115"/>
      <c r="R75" s="117" t="s">
        <v>131</v>
      </c>
      <c r="S75" s="118"/>
      <c r="T75" s="118"/>
      <c r="U75" s="119"/>
      <c r="V75" s="120"/>
      <c r="W75" s="129"/>
      <c r="X75" s="130"/>
      <c r="Y75" s="131"/>
      <c r="Z75" s="110"/>
      <c r="AA75" s="121"/>
      <c r="AB75" s="122"/>
      <c r="AC75" s="123"/>
    </row>
    <row r="79" spans="1:29" x14ac:dyDescent="0.2">
      <c r="H79" s="124"/>
    </row>
  </sheetData>
  <mergeCells count="24">
    <mergeCell ref="AB6:AB7"/>
    <mergeCell ref="AC6:AC7"/>
    <mergeCell ref="AA6:AA7"/>
    <mergeCell ref="D6:D7"/>
    <mergeCell ref="G6:G7"/>
    <mergeCell ref="R6:R7"/>
    <mergeCell ref="I6:K6"/>
    <mergeCell ref="H6:H7"/>
    <mergeCell ref="O6:Q6"/>
    <mergeCell ref="F6:F7"/>
    <mergeCell ref="V6:V7"/>
    <mergeCell ref="W6:W7"/>
    <mergeCell ref="S6:U6"/>
    <mergeCell ref="X6:Y6"/>
    <mergeCell ref="E6:E7"/>
    <mergeCell ref="L6:N6"/>
    <mergeCell ref="A1:Z1"/>
    <mergeCell ref="A2:Z2"/>
    <mergeCell ref="A3:Z3"/>
    <mergeCell ref="A4:Z4"/>
    <mergeCell ref="Z6:Z7"/>
    <mergeCell ref="A6:A7"/>
    <mergeCell ref="B6:B7"/>
    <mergeCell ref="C6:C7"/>
  </mergeCells>
  <phoneticPr fontId="0" type="noConversion"/>
  <printOptions horizontalCentered="1" gridLines="1"/>
  <pageMargins left="0.78740157480314998" right="0.55118110236220497" top="0.78740157480314998" bottom="0.82677165354330695" header="0.55118110236220497" footer="0.59055118110236204"/>
  <pageSetup paperSize="8" scale="95" orientation="landscape" verticalDpi="300" r:id="rId1"/>
  <headerFooter alignWithMargins="0">
    <oddFooter>&amp;LSurveyor:  For Solutions, Cochin&amp;CPage &amp;P of &amp;N   &amp;ROwner: Kerala State Electricity Board, Kalamuserry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B7" sqref="B7"/>
    </sheetView>
  </sheetViews>
  <sheetFormatPr defaultRowHeight="12.75" x14ac:dyDescent="0.2"/>
  <cols>
    <col min="1" max="1" width="21.5703125" style="41" customWidth="1"/>
    <col min="2" max="2" width="27.7109375" style="41" customWidth="1"/>
    <col min="3" max="16384" width="9.140625" style="41"/>
  </cols>
  <sheetData>
    <row r="1" spans="1:6" x14ac:dyDescent="0.2">
      <c r="A1" s="164" t="s">
        <v>43</v>
      </c>
      <c r="B1" s="164"/>
      <c r="E1" s="164"/>
      <c r="F1" s="164"/>
    </row>
    <row r="2" spans="1:6" x14ac:dyDescent="0.2">
      <c r="A2" s="42" t="s">
        <v>20</v>
      </c>
      <c r="B2" s="41">
        <v>13.88</v>
      </c>
      <c r="C2" s="41">
        <f>7.63+6.25</f>
        <v>13.879999999999999</v>
      </c>
      <c r="E2" s="42"/>
    </row>
    <row r="3" spans="1:6" x14ac:dyDescent="0.2">
      <c r="A3" s="42" t="s">
        <v>21</v>
      </c>
      <c r="B3" s="41">
        <v>6.25</v>
      </c>
      <c r="E3" s="42"/>
    </row>
    <row r="4" spans="1:6" x14ac:dyDescent="0.2">
      <c r="A4" s="42" t="s">
        <v>22</v>
      </c>
      <c r="B4" s="41">
        <v>22</v>
      </c>
      <c r="E4" s="42"/>
    </row>
    <row r="5" spans="1:6" x14ac:dyDescent="0.2">
      <c r="A5" s="42" t="s">
        <v>23</v>
      </c>
      <c r="B5" s="41">
        <v>1794</v>
      </c>
      <c r="E5" s="42"/>
    </row>
    <row r="6" spans="1:6" x14ac:dyDescent="0.2">
      <c r="A6" s="42" t="s">
        <v>24</v>
      </c>
      <c r="B6" s="41">
        <v>2649</v>
      </c>
      <c r="E6" s="42"/>
    </row>
    <row r="7" spans="1:6" x14ac:dyDescent="0.2">
      <c r="A7" s="42" t="s">
        <v>33</v>
      </c>
      <c r="B7" s="41">
        <v>0.97599999999999998</v>
      </c>
      <c r="E7" s="42"/>
    </row>
    <row r="8" spans="1:6" x14ac:dyDescent="0.2">
      <c r="A8" s="42" t="s">
        <v>25</v>
      </c>
      <c r="B8" s="41">
        <v>20</v>
      </c>
      <c r="E8" s="42"/>
    </row>
    <row r="9" spans="1:6" x14ac:dyDescent="0.2">
      <c r="A9" s="42" t="s">
        <v>26</v>
      </c>
      <c r="B9" s="41">
        <v>2</v>
      </c>
      <c r="E9" s="42"/>
    </row>
    <row r="10" spans="1:6" x14ac:dyDescent="0.2">
      <c r="A10" s="42" t="s">
        <v>27</v>
      </c>
      <c r="B10" s="41">
        <v>1000</v>
      </c>
      <c r="E10" s="42"/>
    </row>
    <row r="11" spans="1:6" x14ac:dyDescent="0.2">
      <c r="A11" s="42" t="s">
        <v>28</v>
      </c>
      <c r="B11" s="41">
        <v>100</v>
      </c>
      <c r="E11" s="42"/>
    </row>
    <row r="12" spans="1:6" x14ac:dyDescent="0.2">
      <c r="A12" s="42" t="s">
        <v>29</v>
      </c>
      <c r="B12" s="41">
        <v>2000</v>
      </c>
      <c r="E12" s="42"/>
    </row>
    <row r="13" spans="1:6" x14ac:dyDescent="0.2">
      <c r="A13" s="42" t="s">
        <v>30</v>
      </c>
      <c r="B13" s="41">
        <v>220</v>
      </c>
      <c r="E13" s="42"/>
    </row>
    <row r="14" spans="1:6" x14ac:dyDescent="0.2">
      <c r="A14" s="42" t="s">
        <v>31</v>
      </c>
      <c r="B14" s="41">
        <v>185</v>
      </c>
      <c r="E14" s="42"/>
    </row>
    <row r="15" spans="1:6" x14ac:dyDescent="0.2">
      <c r="A15" s="42" t="s">
        <v>32</v>
      </c>
      <c r="B15" s="41">
        <v>1000</v>
      </c>
      <c r="E15" s="42"/>
    </row>
  </sheetData>
  <mergeCells count="2">
    <mergeCell ref="A1:B1"/>
    <mergeCell ref="E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TS</vt:lpstr>
      <vt:lpstr>TSD</vt:lpstr>
      <vt:lpstr>TS!Print_Area</vt:lpstr>
      <vt:lpstr>TS!Print_Titles</vt:lpstr>
    </vt:vector>
  </TitlesOfParts>
  <Company>intecinfocom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ajay</dc:creator>
  <cp:lastModifiedBy>Narayana Perumal</cp:lastModifiedBy>
  <cp:lastPrinted>2018-01-03T07:01:10Z</cp:lastPrinted>
  <dcterms:created xsi:type="dcterms:W3CDTF">2006-10-04T09:23:58Z</dcterms:created>
  <dcterms:modified xsi:type="dcterms:W3CDTF">2018-01-11T11:27:02Z</dcterms:modified>
</cp:coreProperties>
</file>