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7635" yWindow="-15" windowWidth="7635" windowHeight="8160"/>
  </bookViews>
  <sheets>
    <sheet name="TS" sheetId="4" r:id="rId1"/>
    <sheet name="TSD" sheetId="9" state="hidden" r:id="rId2"/>
  </sheets>
  <definedNames>
    <definedName name="_xlnm._FilterDatabase" localSheetId="0" hidden="1">TS!$C$1:$C$50</definedName>
    <definedName name="_xlnm.Print_Area" localSheetId="0">TS!$A$1:$Z$50</definedName>
    <definedName name="_xlnm.Print_Titles" localSheetId="0">TS!$6:$7</definedName>
  </definedNames>
  <calcPr calcId="144525"/>
</workbook>
</file>

<file path=xl/calcChain.xml><?xml version="1.0" encoding="utf-8"?>
<calcChain xmlns="http://schemas.openxmlformats.org/spreadsheetml/2006/main">
  <c r="H50" i="4" l="1"/>
  <c r="C2" i="9" l="1"/>
  <c r="E9" i="4" l="1"/>
  <c r="H8" i="4" s="1"/>
  <c r="E11" i="4"/>
  <c r="E13" i="4"/>
  <c r="E15" i="4"/>
  <c r="E17" i="4"/>
  <c r="E19" i="4"/>
  <c r="E21" i="4"/>
  <c r="E23" i="4"/>
  <c r="E25" i="4"/>
  <c r="E27" i="4"/>
  <c r="E29" i="4"/>
  <c r="E31" i="4"/>
  <c r="E33" i="4"/>
  <c r="E35" i="4"/>
  <c r="E37" i="4"/>
  <c r="E39" i="4"/>
  <c r="E41" i="4"/>
  <c r="E43" i="4"/>
  <c r="E45" i="4"/>
  <c r="F46" i="4" s="1"/>
  <c r="E47" i="4"/>
  <c r="F48" i="4" s="1"/>
  <c r="E49" i="4"/>
  <c r="F50" i="4" s="1"/>
  <c r="F44" i="4"/>
  <c r="F42" i="4"/>
  <c r="F36" i="4"/>
  <c r="F14" i="4"/>
  <c r="F10" i="4"/>
  <c r="F32" i="4" l="1"/>
  <c r="F40" i="4"/>
  <c r="L50" i="4" l="1"/>
  <c r="O50" i="4"/>
  <c r="Q50" i="4" l="1"/>
  <c r="AA50" i="4" s="1"/>
  <c r="N50" i="4"/>
  <c r="J46" i="4" l="1"/>
  <c r="I48" i="4" s="1"/>
  <c r="M48" i="4"/>
  <c r="J48" i="4"/>
  <c r="I50" i="4" s="1"/>
  <c r="K50" i="4" s="1"/>
  <c r="O48" i="4"/>
  <c r="M46" i="4"/>
  <c r="P48" i="4"/>
  <c r="H48" i="4"/>
  <c r="H46" i="4"/>
  <c r="M44" i="4"/>
  <c r="L46" i="4"/>
  <c r="L48" i="4"/>
  <c r="P46" i="4"/>
  <c r="O46" i="4"/>
  <c r="P44" i="4"/>
  <c r="J44" i="4"/>
  <c r="I46" i="4" s="1"/>
  <c r="M22" i="4"/>
  <c r="K46" i="4" l="1"/>
  <c r="Q48" i="4"/>
  <c r="N46" i="4"/>
  <c r="P28" i="4"/>
  <c r="K48" i="4"/>
  <c r="N48" i="4"/>
  <c r="Q46" i="4"/>
  <c r="O44" i="4"/>
  <c r="Q44" i="4" s="1"/>
  <c r="H44" i="4"/>
  <c r="L44" i="4"/>
  <c r="L14" i="4"/>
  <c r="L12" i="4"/>
  <c r="M24" i="4"/>
  <c r="O32" i="4"/>
  <c r="M20" i="4"/>
  <c r="J26" i="4"/>
  <c r="I28" i="4" s="1"/>
  <c r="P26" i="4"/>
  <c r="L28" i="4"/>
  <c r="H28" i="4"/>
  <c r="M26" i="4"/>
  <c r="O28" i="4"/>
  <c r="O42" i="4"/>
  <c r="J40" i="4"/>
  <c r="I42" i="4" s="1"/>
  <c r="L42" i="4"/>
  <c r="M40" i="4"/>
  <c r="P40" i="4"/>
  <c r="P32" i="4"/>
  <c r="L34" i="4"/>
  <c r="M32" i="4"/>
  <c r="H34" i="4"/>
  <c r="J32" i="4"/>
  <c r="I34" i="4" s="1"/>
  <c r="O34" i="4"/>
  <c r="J24" i="4"/>
  <c r="I26" i="4" s="1"/>
  <c r="P24" i="4"/>
  <c r="L26" i="4"/>
  <c r="H26" i="4"/>
  <c r="H18" i="4"/>
  <c r="M16" i="4"/>
  <c r="O18" i="4"/>
  <c r="P16" i="4"/>
  <c r="J16" i="4"/>
  <c r="I18" i="4" s="1"/>
  <c r="J8" i="4"/>
  <c r="I10" i="4" s="1"/>
  <c r="P8" i="4"/>
  <c r="L10" i="4"/>
  <c r="H10" i="4"/>
  <c r="M8" i="4"/>
  <c r="O10" i="4"/>
  <c r="O30" i="4"/>
  <c r="J42" i="4"/>
  <c r="I44" i="4" s="1"/>
  <c r="K44" i="4" s="1"/>
  <c r="P42" i="4"/>
  <c r="M42" i="4"/>
  <c r="M18" i="4"/>
  <c r="O20" i="4"/>
  <c r="P18" i="4"/>
  <c r="H20" i="4"/>
  <c r="J18" i="4"/>
  <c r="I20" i="4" s="1"/>
  <c r="L20" i="4"/>
  <c r="H42" i="4"/>
  <c r="M38" i="4"/>
  <c r="H40" i="4"/>
  <c r="O40" i="4"/>
  <c r="J38" i="4"/>
  <c r="I40" i="4" s="1"/>
  <c r="L40" i="4"/>
  <c r="P38" i="4"/>
  <c r="P30" i="4"/>
  <c r="L32" i="4"/>
  <c r="M30" i="4"/>
  <c r="H32" i="4"/>
  <c r="J30" i="4"/>
  <c r="I32" i="4" s="1"/>
  <c r="H24" i="4"/>
  <c r="O24" i="4"/>
  <c r="J22" i="4"/>
  <c r="I24" i="4" s="1"/>
  <c r="P22" i="4"/>
  <c r="L24" i="4"/>
  <c r="M14" i="4"/>
  <c r="H16" i="4"/>
  <c r="L16" i="4"/>
  <c r="O16" i="4"/>
  <c r="P14" i="4"/>
  <c r="J14" i="4"/>
  <c r="I16" i="4" s="1"/>
  <c r="H36" i="4"/>
  <c r="M34" i="4"/>
  <c r="O36" i="4"/>
  <c r="J34" i="4"/>
  <c r="I36" i="4" s="1"/>
  <c r="L36" i="4"/>
  <c r="H12" i="4"/>
  <c r="M10" i="4"/>
  <c r="O12" i="4"/>
  <c r="P10" i="4"/>
  <c r="M36" i="4"/>
  <c r="H38" i="4"/>
  <c r="O38" i="4"/>
  <c r="J36" i="4"/>
  <c r="I38" i="4" s="1"/>
  <c r="L38" i="4"/>
  <c r="P36" i="4"/>
  <c r="L30" i="4"/>
  <c r="M28" i="4"/>
  <c r="H30" i="4"/>
  <c r="J28" i="4"/>
  <c r="I30" i="4" s="1"/>
  <c r="J20" i="4"/>
  <c r="I22" i="4" s="1"/>
  <c r="P20" i="4"/>
  <c r="O22" i="4"/>
  <c r="H22" i="4"/>
  <c r="L22" i="4"/>
  <c r="M12" i="4"/>
  <c r="H14" i="4"/>
  <c r="P12" i="4"/>
  <c r="O14" i="4"/>
  <c r="J12" i="4"/>
  <c r="I14" i="4" s="1"/>
  <c r="P34" i="4"/>
  <c r="O26" i="4"/>
  <c r="L18" i="4"/>
  <c r="J10" i="4"/>
  <c r="I12" i="4" s="1"/>
  <c r="N12" i="4" l="1"/>
  <c r="AA46" i="4"/>
  <c r="Q28" i="4"/>
  <c r="AA48" i="4"/>
  <c r="N44" i="4"/>
  <c r="AA44" i="4" s="1"/>
  <c r="N14" i="4"/>
  <c r="K14" i="4"/>
  <c r="Q32" i="4"/>
  <c r="Q24" i="4"/>
  <c r="K38" i="4"/>
  <c r="N24" i="4"/>
  <c r="Q8" i="4"/>
  <c r="AA8" i="4" s="1"/>
  <c r="Q10" i="4"/>
  <c r="K32" i="4"/>
  <c r="Q42" i="4"/>
  <c r="K26" i="4"/>
  <c r="K22" i="4"/>
  <c r="Q38" i="4"/>
  <c r="K40" i="4"/>
  <c r="K8" i="4"/>
  <c r="Q40" i="4"/>
  <c r="K16" i="4"/>
  <c r="K24" i="4"/>
  <c r="Q34" i="4"/>
  <c r="Q18" i="4"/>
  <c r="N40" i="4"/>
  <c r="N8" i="4"/>
  <c r="N18" i="4"/>
  <c r="AA18" i="4" s="1"/>
  <c r="N22" i="4"/>
  <c r="N30" i="4"/>
  <c r="N20" i="4"/>
  <c r="N32" i="4"/>
  <c r="N26" i="4"/>
  <c r="N16" i="4"/>
  <c r="N10" i="4"/>
  <c r="N34" i="4"/>
  <c r="N36" i="4"/>
  <c r="Q12" i="4"/>
  <c r="K36" i="4"/>
  <c r="K20" i="4"/>
  <c r="Q30" i="4"/>
  <c r="K34" i="4"/>
  <c r="K42" i="4"/>
  <c r="N28" i="4"/>
  <c r="K12" i="4"/>
  <c r="K30" i="4"/>
  <c r="Q36" i="4"/>
  <c r="Q14" i="4"/>
  <c r="N38" i="4"/>
  <c r="K10" i="4"/>
  <c r="Q26" i="4"/>
  <c r="Q20" i="4"/>
  <c r="Q22" i="4"/>
  <c r="Q16" i="4"/>
  <c r="K18" i="4"/>
  <c r="K28" i="4"/>
  <c r="N42" i="4"/>
  <c r="AA28" i="4" l="1"/>
  <c r="AA12" i="4"/>
  <c r="AA42" i="4"/>
  <c r="AA38" i="4"/>
  <c r="AA34" i="4"/>
  <c r="AA32" i="4"/>
  <c r="AA14" i="4"/>
  <c r="AA40" i="4"/>
  <c r="AA10" i="4"/>
  <c r="AA16" i="4"/>
  <c r="AA26" i="4"/>
  <c r="AA30" i="4"/>
  <c r="AA22" i="4"/>
  <c r="AA20" i="4"/>
  <c r="AA24" i="4"/>
  <c r="AA36" i="4"/>
  <c r="A10" i="4" l="1"/>
  <c r="A12" i="4" s="1"/>
  <c r="A14" i="4" s="1"/>
  <c r="A16" i="4" s="1"/>
  <c r="A18" i="4" s="1"/>
  <c r="A20" i="4" s="1"/>
  <c r="A22" i="4" s="1"/>
  <c r="A24" i="4" s="1"/>
  <c r="A26" i="4" s="1"/>
  <c r="A28" i="4" s="1"/>
  <c r="A30" i="4" s="1"/>
  <c r="A32" i="4" s="1"/>
  <c r="A34" i="4" s="1"/>
  <c r="A36" i="4" s="1"/>
  <c r="A38" i="4" s="1"/>
  <c r="A40" i="4" s="1"/>
  <c r="A42" i="4" s="1"/>
  <c r="A44" i="4" s="1"/>
  <c r="A46" i="4" s="1"/>
  <c r="A48" i="4" s="1"/>
  <c r="A50" i="4" s="1"/>
  <c r="G10" i="4" l="1"/>
  <c r="G12" i="4" s="1"/>
  <c r="G14" i="4" s="1"/>
  <c r="G16" i="4" s="1"/>
  <c r="G18" i="4" s="1"/>
  <c r="G20" i="4" s="1"/>
  <c r="G22" i="4" s="1"/>
  <c r="G24" i="4" s="1"/>
  <c r="G26" i="4" s="1"/>
  <c r="G28" i="4" s="1"/>
  <c r="G30" i="4" s="1"/>
  <c r="G32" i="4" s="1"/>
  <c r="G34" i="4" s="1"/>
  <c r="G36" i="4" s="1"/>
  <c r="G38" i="4" s="1"/>
  <c r="G40" i="4" s="1"/>
  <c r="G42" i="4" s="1"/>
  <c r="G44" i="4" s="1"/>
  <c r="G46" i="4" s="1"/>
  <c r="G48" i="4" s="1"/>
  <c r="G50" i="4" s="1"/>
</calcChain>
</file>

<file path=xl/sharedStrings.xml><?xml version="1.0" encoding="utf-8"?>
<sst xmlns="http://schemas.openxmlformats.org/spreadsheetml/2006/main" count="131" uniqueCount="110">
  <si>
    <t>Tower Type</t>
  </si>
  <si>
    <t>Adjacent Span</t>
  </si>
  <si>
    <t>Left</t>
  </si>
  <si>
    <t>Right</t>
  </si>
  <si>
    <t>Total</t>
  </si>
  <si>
    <t>Elevation</t>
  </si>
  <si>
    <t>Twr Extn</t>
  </si>
  <si>
    <t>Easting</t>
  </si>
  <si>
    <t>Northing</t>
  </si>
  <si>
    <t>Weight Span Check</t>
  </si>
  <si>
    <t>Weight Span (Cold)</t>
  </si>
  <si>
    <t>Weight Span (Hot)</t>
  </si>
  <si>
    <t>Deviation Angle (DMS)</t>
  </si>
  <si>
    <t>Span (m)</t>
  </si>
  <si>
    <t>Section Length (m)</t>
  </si>
  <si>
    <t>Wind Span (m)</t>
  </si>
  <si>
    <t>Longitude</t>
  </si>
  <si>
    <t>Latitude</t>
  </si>
  <si>
    <t>Cum.  Chainage (m)</t>
  </si>
  <si>
    <t>Spherical Coordinate</t>
  </si>
  <si>
    <t>Crossarm_Ht</t>
  </si>
  <si>
    <t>GC</t>
  </si>
  <si>
    <t>Row</t>
  </si>
  <si>
    <t>T_Hot</t>
  </si>
  <si>
    <t>T_Cold</t>
  </si>
  <si>
    <t>Hor_Grid</t>
  </si>
  <si>
    <t>Ver_Grid</t>
  </si>
  <si>
    <t>Hor_Scale</t>
  </si>
  <si>
    <t>Ver_Scale</t>
  </si>
  <si>
    <t>Plot_Scale</t>
  </si>
  <si>
    <t>Sheet_Gap</t>
  </si>
  <si>
    <t>PandP_Dist</t>
  </si>
  <si>
    <t>Grid_Ht</t>
  </si>
  <si>
    <t>Cond_Wt</t>
  </si>
  <si>
    <t>Sl No</t>
  </si>
  <si>
    <t>Chimney Ht</t>
  </si>
  <si>
    <t>NAME OF CLIENT :- KERALA STATE ELECTRICITY BOARD</t>
  </si>
  <si>
    <t>UTM Coordinate (Zone - 43P)</t>
  </si>
  <si>
    <t>KLD+00</t>
  </si>
  <si>
    <t>Loc No.</t>
  </si>
  <si>
    <t>Sag Tension details for 220kV M/C KM TL (Wind Zone-2)</t>
  </si>
  <si>
    <t>Major Crossings/Remarks</t>
  </si>
  <si>
    <t>2</t>
  </si>
  <si>
    <t>3</t>
  </si>
  <si>
    <t>4</t>
  </si>
  <si>
    <t>5</t>
  </si>
  <si>
    <t>6</t>
  </si>
  <si>
    <t>7</t>
  </si>
  <si>
    <t>8</t>
  </si>
  <si>
    <t>1</t>
  </si>
  <si>
    <t>Land Use</t>
  </si>
  <si>
    <t>Soil Clasification</t>
  </si>
  <si>
    <t>Existing Tower No.</t>
  </si>
  <si>
    <t>00°00'00"</t>
  </si>
  <si>
    <t>00°00'30" LT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</si>
  <si>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</si>
  <si>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</si>
  <si>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</si>
  <si>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</si>
  <si>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</si>
  <si>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</si>
  <si>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</si>
  <si>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</si>
  <si>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</si>
  <si>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</si>
  <si>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</si>
  <si>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</si>
  <si>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</si>
  <si>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NAME OF AGENCY :- FOR SOLUTIONS</t>
  </si>
  <si>
    <t>7A</t>
  </si>
  <si>
    <t>D60+00</t>
  </si>
  <si>
    <t>D30+04.5</t>
  </si>
  <si>
    <t>D03+04.5</t>
  </si>
  <si>
    <t>D30+03</t>
  </si>
  <si>
    <t>D60+03</t>
  </si>
  <si>
    <t>00°01'15" RT</t>
  </si>
  <si>
    <t>01°31'19" LT</t>
  </si>
  <si>
    <t>74°31'44" LT</t>
  </si>
  <si>
    <t>04°55'15" LT</t>
  </si>
  <si>
    <t>04°37'57" LT</t>
  </si>
  <si>
    <t>00°06'23" LT</t>
  </si>
  <si>
    <t>00°04'22" LT</t>
  </si>
  <si>
    <t>28°05'21" RT</t>
  </si>
  <si>
    <t>00°57'08" LT</t>
  </si>
  <si>
    <t>Crossing of Kottayam - Pallom Line</t>
  </si>
  <si>
    <t>D60+04.5</t>
  </si>
  <si>
    <t>Well 2nos, Building 3nos, Shed</t>
  </si>
  <si>
    <t>Building, Road, 11kV Line</t>
  </si>
  <si>
    <t>Building 7nos, Well, Road, LT Line</t>
  </si>
  <si>
    <t>Building, 11kV Line</t>
  </si>
  <si>
    <t>Road 2nos, Building 3nos</t>
  </si>
  <si>
    <t>Nala</t>
  </si>
  <si>
    <t>Road, LT Line, Building 3nos, Nala</t>
  </si>
  <si>
    <t>Road, Nala, Well</t>
  </si>
  <si>
    <t>Road, Well, Building, Nala</t>
  </si>
  <si>
    <t>Building, Nala</t>
  </si>
  <si>
    <t>Road, Building 3nos, 11kV Line 2nos, Transformerr</t>
  </si>
  <si>
    <t>Building 2nos, 11kV Line, Nala</t>
  </si>
  <si>
    <t>Nala, Road</t>
  </si>
  <si>
    <t>Nala, Building, Well 2nos</t>
  </si>
  <si>
    <t>Building 4nos, Well 2nos, Road 2nos, 11kV Line, LT Line 2nos</t>
  </si>
  <si>
    <t>Building 3nos, Well, LT Line, Mud Road, Water Tank</t>
  </si>
  <si>
    <t>Tower has been shifted by 72m towards Loc 2</t>
  </si>
  <si>
    <t>Existing HT Line Crossing, Water Tank, Building 4nos, LT Line, 11kV Line, Road</t>
  </si>
  <si>
    <t>Building</t>
  </si>
  <si>
    <t>Road 2nos</t>
  </si>
  <si>
    <t>Road</t>
  </si>
  <si>
    <t>Tower has been shifted by 10m towards Loc 7A</t>
  </si>
  <si>
    <t>DETAILED SURVEY TOWER SCHEDULE (LINE LENGTH: 4.949 Km)</t>
  </si>
  <si>
    <t>NAME OF PROJECT :- 110kV D/C KOTTAYAM - THURAVOOR TRANSMISSION LINE (PART-1)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</si>
</sst>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#,##0.0"/>
    <numFmt numFmtId="166" formatCode="_ * #,##0.000_ ;_ * \-#,##0.000_ ;_ * &quot;-&quot;??_ ;_ @_ "/>
    <numFmt numFmtId="167" formatCode="0.0"/>
    <numFmt numFmtId="168" formatCode="_ * #,##0.0_ ;_ * \-#,##0.0_ ;_ * &quot;-&quot;??_ ;_ @_ "/>
  </numFmts>
  <fonts count="7" x14ac:knownFonts="1">
    <font>
      <sz val="10"/>
      <name val="Arial"/>
    </font>
    <font>
      <sz val="10"/>
      <name val="Times New Roman"/>
      <family val="1"/>
    </font>
    <font>
      <b/>
      <sz val="8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sz val="12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4" fillId="0" borderId="0"/>
  </cellStyleXfs>
  <cellXfs count="11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/>
    </xf>
    <xf numFmtId="165" fontId="3" fillId="2" borderId="8" xfId="0" applyNumberFormat="1" applyFont="1" applyFill="1" applyBorder="1" applyAlignment="1">
      <alignment vertical="center"/>
    </xf>
    <xf numFmtId="165" fontId="3" fillId="2" borderId="7" xfId="0" applyNumberFormat="1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/>
    <xf numFmtId="1" fontId="3" fillId="2" borderId="23" xfId="0" applyNumberFormat="1" applyFont="1" applyFill="1" applyBorder="1" applyAlignment="1">
      <alignment vertical="center" wrapText="1"/>
    </xf>
    <xf numFmtId="166" fontId="3" fillId="2" borderId="25" xfId="1" applyNumberFormat="1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vertical="center" wrapText="1"/>
    </xf>
    <xf numFmtId="165" fontId="3" fillId="0" borderId="24" xfId="0" applyNumberFormat="1" applyFont="1" applyFill="1" applyBorder="1" applyAlignment="1">
      <alignment vertical="center"/>
    </xf>
    <xf numFmtId="165" fontId="3" fillId="0" borderId="25" xfId="0" applyNumberFormat="1" applyFont="1" applyFill="1" applyBorder="1" applyAlignment="1">
      <alignment vertical="center"/>
    </xf>
    <xf numFmtId="165" fontId="3" fillId="0" borderId="23" xfId="0" applyNumberFormat="1" applyFont="1" applyFill="1" applyBorder="1" applyAlignment="1">
      <alignment vertical="center"/>
    </xf>
    <xf numFmtId="166" fontId="3" fillId="0" borderId="25" xfId="1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/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3" borderId="30" xfId="0" applyNumberFormat="1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6" xfId="0" applyNumberFormat="1" applyFont="1" applyFill="1" applyBorder="1" applyAlignment="1">
      <alignment horizontal="center" vertical="center" wrapText="1"/>
    </xf>
    <xf numFmtId="1" fontId="3" fillId="2" borderId="15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4" fillId="0" borderId="0" xfId="2"/>
    <xf numFmtId="0" fontId="4" fillId="0" borderId="0" xfId="2" applyFont="1"/>
    <xf numFmtId="168" fontId="3" fillId="0" borderId="1" xfId="1" applyNumberFormat="1" applyFont="1" applyFill="1" applyBorder="1" applyAlignment="1">
      <alignment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/>
    <xf numFmtId="0" fontId="3" fillId="2" borderId="9" xfId="0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/>
    <xf numFmtId="0" fontId="5" fillId="0" borderId="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/>
    <xf numFmtId="165" fontId="3" fillId="0" borderId="7" xfId="0" applyNumberFormat="1" applyFont="1" applyFill="1" applyBorder="1" applyAlignment="1"/>
    <xf numFmtId="2" fontId="2" fillId="0" borderId="15" xfId="0" applyNumberFormat="1" applyFont="1" applyFill="1" applyBorder="1" applyAlignment="1">
      <alignment horizontal="center" vertical="center" wrapText="1"/>
    </xf>
    <xf numFmtId="168" fontId="3" fillId="2" borderId="1" xfId="1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/>
    <xf numFmtId="165" fontId="3" fillId="2" borderId="7" xfId="0" applyNumberFormat="1" applyFont="1" applyFill="1" applyBorder="1" applyAlignment="1"/>
    <xf numFmtId="2" fontId="2" fillId="2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vertical="center" wrapText="1"/>
    </xf>
    <xf numFmtId="2" fontId="3" fillId="2" borderId="26" xfId="0" applyNumberFormat="1" applyFont="1" applyFill="1" applyBorder="1" applyAlignment="1">
      <alignment vertical="center" wrapText="1"/>
    </xf>
    <xf numFmtId="165" fontId="2" fillId="2" borderId="7" xfId="0" applyNumberFormat="1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center" wrapText="1"/>
    </xf>
    <xf numFmtId="166" fontId="3" fillId="2" borderId="25" xfId="1" applyNumberFormat="1" applyFont="1" applyFill="1" applyBorder="1" applyAlignment="1">
      <alignment vertical="center"/>
    </xf>
    <xf numFmtId="2" fontId="3" fillId="0" borderId="9" xfId="0" applyNumberFormat="1" applyFont="1" applyFill="1" applyBorder="1" applyAlignment="1">
      <alignment vertical="center" wrapText="1"/>
    </xf>
    <xf numFmtId="2" fontId="3" fillId="0" borderId="17" xfId="0" applyNumberFormat="1" applyFont="1" applyFill="1" applyBorder="1" applyAlignment="1">
      <alignment vertical="center" wrapText="1"/>
    </xf>
    <xf numFmtId="2" fontId="3" fillId="0" borderId="8" xfId="0" applyNumberFormat="1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166" fontId="3" fillId="2" borderId="1" xfId="1" applyNumberFormat="1" applyFont="1" applyFill="1" applyBorder="1" applyAlignment="1">
      <alignment vertical="center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2" borderId="15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12" xfId="0" applyNumberFormat="1" applyFont="1" applyFill="1" applyBorder="1" applyAlignment="1">
      <alignment horizontal="center" vertical="center" wrapText="1"/>
    </xf>
    <xf numFmtId="1" fontId="2" fillId="3" borderId="18" xfId="0" applyNumberFormat="1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 wrapText="1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1" fontId="2" fillId="3" borderId="16" xfId="0" applyNumberFormat="1" applyFont="1" applyFill="1" applyBorder="1" applyAlignment="1">
      <alignment horizontal="center" vertical="center"/>
    </xf>
    <xf numFmtId="1" fontId="2" fillId="3" borderId="22" xfId="0" applyNumberFormat="1" applyFont="1" applyFill="1" applyBorder="1" applyAlignment="1">
      <alignment horizontal="center" vertical="center"/>
    </xf>
    <xf numFmtId="1" fontId="2" fillId="3" borderId="20" xfId="0" applyNumberFormat="1" applyFont="1" applyFill="1" applyBorder="1" applyAlignment="1">
      <alignment horizontal="center" vertical="center"/>
    </xf>
    <xf numFmtId="1" fontId="2" fillId="3" borderId="16" xfId="0" applyNumberFormat="1" applyFont="1" applyFill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50"/>
  <sheetViews>
    <sheetView tabSelected="1" zoomScaleNormal="100" zoomScaleSheetLayoutView="8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44" sqref="C44"/>
    </sheetView>
  </sheetViews>
  <sheetFormatPr defaultColWidth="7.5703125" defaultRowHeight="12.75" x14ac:dyDescent="0.2"/>
  <cols>
    <col min="1" max="1" width="5.7109375" style="2" customWidth="1"/>
    <col min="2" max="2" width="7.85546875" style="3" bestFit="1" customWidth="1"/>
    <col min="3" max="3" width="7.85546875" style="2" customWidth="1"/>
    <col min="4" max="4" width="10.7109375" style="3" customWidth="1"/>
    <col min="5" max="5" width="7" style="2" customWidth="1"/>
    <col min="6" max="6" width="7.28515625" style="2" customWidth="1"/>
    <col min="7" max="7" width="8.7109375" style="4" customWidth="1"/>
    <col min="8" max="8" width="8.7109375" style="2" customWidth="1"/>
    <col min="9" max="10" width="6.7109375" style="4" bestFit="1" customWidth="1"/>
    <col min="11" max="11" width="6.28515625" style="2" customWidth="1"/>
    <col min="12" max="13" width="7.140625" style="4" bestFit="1" customWidth="1"/>
    <col min="14" max="14" width="5.5703125" style="2" customWidth="1"/>
    <col min="15" max="15" width="6.7109375" style="4" bestFit="1" customWidth="1"/>
    <col min="16" max="16" width="7.28515625" style="4" bestFit="1" customWidth="1"/>
    <col min="17" max="17" width="6" style="2" customWidth="1"/>
    <col min="18" max="18" width="30.7109375" style="5" customWidth="1"/>
    <col min="19" max="19" width="10.7109375" style="2" customWidth="1"/>
    <col min="20" max="20" width="12.28515625" style="2" customWidth="1"/>
    <col min="21" max="21" width="8.7109375" style="2" customWidth="1"/>
    <col min="22" max="22" width="5.7109375" style="1" customWidth="1"/>
    <col min="23" max="23" width="8" style="1" customWidth="1"/>
    <col min="24" max="25" width="11.7109375" style="1" customWidth="1"/>
    <col min="26" max="26" width="7.85546875" style="3" customWidth="1"/>
    <col min="27" max="27" width="8.7109375" style="1" customWidth="1"/>
    <col min="28" max="28" width="15.7109375" style="1" customWidth="1"/>
    <col min="29" max="29" width="20.7109375" style="1" customWidth="1"/>
    <col min="30" max="16384" width="7.5703125" style="1"/>
  </cols>
  <sheetData>
    <row r="1" spans="1:29" ht="15" x14ac:dyDescent="0.2">
      <c r="A1" s="107" t="s">
        <v>109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47"/>
    </row>
    <row r="2" spans="1:29" ht="15" x14ac:dyDescent="0.2">
      <c r="A2" s="107" t="s">
        <v>36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47"/>
    </row>
    <row r="3" spans="1:29" ht="15" x14ac:dyDescent="0.2">
      <c r="A3" s="107" t="s">
        <v>68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47"/>
    </row>
    <row r="4" spans="1:29" ht="15" x14ac:dyDescent="0.2">
      <c r="A4" s="107" t="s">
        <v>108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47"/>
    </row>
    <row r="5" spans="1:29" ht="15.75" thickBo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29" ht="19.5" customHeight="1" x14ac:dyDescent="0.2">
      <c r="A6" s="105" t="s">
        <v>34</v>
      </c>
      <c r="B6" s="108" t="s">
        <v>39</v>
      </c>
      <c r="C6" s="96" t="s">
        <v>0</v>
      </c>
      <c r="D6" s="84" t="s">
        <v>12</v>
      </c>
      <c r="E6" s="105" t="s">
        <v>13</v>
      </c>
      <c r="F6" s="96" t="s">
        <v>14</v>
      </c>
      <c r="G6" s="86" t="s">
        <v>18</v>
      </c>
      <c r="H6" s="93" t="s">
        <v>15</v>
      </c>
      <c r="I6" s="90" t="s">
        <v>1</v>
      </c>
      <c r="J6" s="91"/>
      <c r="K6" s="92"/>
      <c r="L6" s="95" t="s">
        <v>10</v>
      </c>
      <c r="M6" s="91"/>
      <c r="N6" s="92"/>
      <c r="O6" s="95" t="s">
        <v>11</v>
      </c>
      <c r="P6" s="91"/>
      <c r="Q6" s="92"/>
      <c r="R6" s="88" t="s">
        <v>41</v>
      </c>
      <c r="S6" s="100" t="s">
        <v>37</v>
      </c>
      <c r="T6" s="101"/>
      <c r="U6" s="102"/>
      <c r="V6" s="98" t="s">
        <v>6</v>
      </c>
      <c r="W6" s="98" t="s">
        <v>35</v>
      </c>
      <c r="X6" s="103" t="s">
        <v>19</v>
      </c>
      <c r="Y6" s="104"/>
      <c r="Z6" s="108" t="s">
        <v>52</v>
      </c>
      <c r="AA6" s="82" t="s">
        <v>9</v>
      </c>
      <c r="AB6" s="78" t="s">
        <v>50</v>
      </c>
      <c r="AC6" s="80" t="s">
        <v>51</v>
      </c>
    </row>
    <row r="7" spans="1:29" ht="19.5" customHeight="1" thickBot="1" x14ac:dyDescent="0.25">
      <c r="A7" s="106"/>
      <c r="B7" s="109"/>
      <c r="C7" s="97"/>
      <c r="D7" s="85"/>
      <c r="E7" s="106"/>
      <c r="F7" s="97"/>
      <c r="G7" s="87"/>
      <c r="H7" s="94"/>
      <c r="I7" s="22" t="s">
        <v>2</v>
      </c>
      <c r="J7" s="23" t="s">
        <v>3</v>
      </c>
      <c r="K7" s="24" t="s">
        <v>4</v>
      </c>
      <c r="L7" s="25" t="s">
        <v>2</v>
      </c>
      <c r="M7" s="23" t="s">
        <v>3</v>
      </c>
      <c r="N7" s="24" t="s">
        <v>4</v>
      </c>
      <c r="O7" s="25" t="s">
        <v>2</v>
      </c>
      <c r="P7" s="23" t="s">
        <v>3</v>
      </c>
      <c r="Q7" s="24" t="s">
        <v>4</v>
      </c>
      <c r="R7" s="89"/>
      <c r="S7" s="50" t="s">
        <v>7</v>
      </c>
      <c r="T7" s="51" t="s">
        <v>8</v>
      </c>
      <c r="U7" s="24" t="s">
        <v>5</v>
      </c>
      <c r="V7" s="99"/>
      <c r="W7" s="99"/>
      <c r="X7" s="38" t="s">
        <v>16</v>
      </c>
      <c r="Y7" s="39" t="s">
        <v>17</v>
      </c>
      <c r="Z7" s="109"/>
      <c r="AA7" s="83"/>
      <c r="AB7" s="79"/>
      <c r="AC7" s="81"/>
    </row>
    <row r="8" spans="1:29" x14ac:dyDescent="0.15">
      <c r="A8" s="12">
        <v>0</v>
      </c>
      <c r="B8" s="31" t="s">
        <v>67</v>
      </c>
      <c r="C8" s="31" t="s">
        <v>38</v>
      </c>
      <c r="D8" s="32" t="s">
        <v>54</v>
      </c>
      <c r="E8" s="45"/>
      <c r="F8" s="55">
        <v>0</v>
      </c>
      <c r="G8" s="56">
        <v>0</v>
      </c>
      <c r="H8" s="19">
        <f>(ROUND(0,1)+ROUND(E9,1))/2</f>
        <v>82.7</v>
      </c>
      <c r="I8" s="57">
        <v>0</v>
      </c>
      <c r="J8" s="56">
        <f t="shared" ref="J8" si="0">E9</f>
        <v>165.4</v>
      </c>
      <c r="K8" s="19">
        <f t="shared" ref="K8" si="1">ROUND(I8,1)+ROUND(J8,1)</f>
        <v>165.4</v>
      </c>
      <c r="L8" s="57">
        <v>0</v>
      </c>
      <c r="M8" s="56">
        <f t="shared" ref="M8" si="2">E9/2+2649*(U8+V8+W8-U10-V10-W10)/(0.976*E9)</f>
        <v>16.487471256962749</v>
      </c>
      <c r="N8" s="19">
        <f t="shared" ref="N8" si="3">L8+M8</f>
        <v>16.487471256962749</v>
      </c>
      <c r="O8" s="57">
        <v>0</v>
      </c>
      <c r="P8" s="56">
        <f t="shared" ref="P8" si="4">E9/2+1794*(U8+V8+W8-U10-V10-W10)/(0.976*E9)</f>
        <v>37.858445992824151</v>
      </c>
      <c r="Q8" s="19">
        <f t="shared" ref="Q8" si="5">O8+P8</f>
        <v>37.858445992824151</v>
      </c>
      <c r="R8" s="34"/>
      <c r="S8" s="41">
        <v>671198.51599999995</v>
      </c>
      <c r="T8" s="41">
        <v>1076715.1229999999</v>
      </c>
      <c r="U8" s="13">
        <v>14.334</v>
      </c>
      <c r="V8" s="33">
        <v>0</v>
      </c>
      <c r="W8" s="49"/>
      <c r="X8" s="30"/>
      <c r="Y8" s="40"/>
      <c r="Z8" s="31"/>
      <c r="AA8" s="76" t="str">
        <f>IF(OR(O8&lt;-600,P8&lt;-600,Q8&lt;-1000,O8&gt;600,P8&gt;600,Q8&gt;1000),"Check","Ok")</f>
        <v>Ok</v>
      </c>
      <c r="AB8" s="61"/>
      <c r="AC8" s="62"/>
    </row>
    <row r="9" spans="1:29" x14ac:dyDescent="0.15">
      <c r="A9" s="20"/>
      <c r="B9" s="26"/>
      <c r="C9" s="26"/>
      <c r="D9" s="29"/>
      <c r="E9" s="43">
        <f t="shared" ref="E9:E35" si="6">ROUND(SQRT((S8-S10)^2+(T8-T10)^2),1)</f>
        <v>165.4</v>
      </c>
      <c r="F9" s="28"/>
      <c r="G9" s="15"/>
      <c r="H9" s="16"/>
      <c r="I9" s="17"/>
      <c r="J9" s="15"/>
      <c r="K9" s="16"/>
      <c r="L9" s="17"/>
      <c r="M9" s="15"/>
      <c r="N9" s="16"/>
      <c r="O9" s="17"/>
      <c r="P9" s="15"/>
      <c r="Q9" s="16"/>
      <c r="R9" s="27" t="s">
        <v>86</v>
      </c>
      <c r="S9" s="46"/>
      <c r="T9" s="46"/>
      <c r="U9" s="18"/>
      <c r="V9" s="9"/>
      <c r="W9" s="21"/>
      <c r="X9" s="30"/>
      <c r="Y9" s="40"/>
      <c r="Z9" s="26"/>
      <c r="AA9" s="21"/>
      <c r="AB9" s="59"/>
      <c r="AC9" s="60"/>
    </row>
    <row r="10" spans="1:29" ht="21" x14ac:dyDescent="0.15">
      <c r="A10" s="12">
        <f t="shared" ref="A10:A38" si="7">A8+1</f>
        <v>1</v>
      </c>
      <c r="B10" s="31" t="s">
        <v>66</v>
      </c>
      <c r="C10" s="31" t="s">
        <v>85</v>
      </c>
      <c r="D10" s="32" t="s">
        <v>75</v>
      </c>
      <c r="E10" s="45"/>
      <c r="F10" s="55">
        <f>SUM(E9)</f>
        <v>165.4</v>
      </c>
      <c r="G10" s="56">
        <f t="shared" ref="G10:G38" si="8">G8+E9</f>
        <v>165.4</v>
      </c>
      <c r="H10" s="19">
        <f t="shared" ref="H10" si="9">(ROUND(E9,1)+ROUND(E11,1))/2</f>
        <v>187.65</v>
      </c>
      <c r="I10" s="57">
        <f t="shared" ref="I10" si="10">J8</f>
        <v>165.4</v>
      </c>
      <c r="J10" s="56">
        <f t="shared" ref="J10" si="11">E11</f>
        <v>209.9</v>
      </c>
      <c r="K10" s="19">
        <f t="shared" ref="K10" si="12">ROUND(I10,1)+ROUND(J10,1)</f>
        <v>375.3</v>
      </c>
      <c r="L10" s="57">
        <f t="shared" ref="L10" si="13">E9/2-2649*(U8+V8+W8-U10-V10-W10)/(0.976*E9)</f>
        <v>148.91252874303726</v>
      </c>
      <c r="M10" s="56">
        <f t="shared" ref="M10" si="14">E11/2+2649*(U10+V10+W10-U12-V12-W12)/(0.976*E11)</f>
        <v>75.080243519552653</v>
      </c>
      <c r="N10" s="19">
        <f t="shared" ref="N10" si="15">L10+M10</f>
        <v>223.99277226258991</v>
      </c>
      <c r="O10" s="57">
        <f t="shared" ref="O10" si="16">E9/2-1794*(U8+V8+W8-U10-V10-W10)/(0.976*E9)</f>
        <v>127.54155400717585</v>
      </c>
      <c r="P10" s="56">
        <f t="shared" ref="P10" si="17">E11/2+1794*(U10+V10+W10-U12-V12-W12)/(0.976*E11)</f>
        <v>84.721104897726491</v>
      </c>
      <c r="Q10" s="19">
        <f t="shared" ref="Q10" si="18">O10+P10</f>
        <v>212.26265890490234</v>
      </c>
      <c r="R10" s="34"/>
      <c r="S10" s="41">
        <v>671196.62800000003</v>
      </c>
      <c r="T10" s="41">
        <v>1076880.463</v>
      </c>
      <c r="U10" s="13">
        <v>13.869</v>
      </c>
      <c r="V10" s="33">
        <v>4.5</v>
      </c>
      <c r="W10" s="49"/>
      <c r="X10" s="30"/>
      <c r="Y10" s="40"/>
      <c r="Z10" s="31"/>
      <c r="AA10" s="42" t="str">
        <f>IF(OR(L10&lt;-600,M10&lt;-600,N10&lt;-1000,L10&gt;600,M10&gt;600,N10&gt;1000,O10&lt;-600,P10&lt;-600,Q10&lt;-1000,O10&gt;600,P10&gt;600,Q10&gt;1000),"Check","Ok")</f>
        <v>Ok</v>
      </c>
      <c r="AB10" s="61"/>
      <c r="AC10" s="62"/>
    </row>
    <row r="11" spans="1:29" x14ac:dyDescent="0.15">
      <c r="A11" s="20"/>
      <c r="B11" s="26"/>
      <c r="C11" s="26"/>
      <c r="D11" s="29"/>
      <c r="E11" s="43">
        <f t="shared" si="6"/>
        <v>209.9</v>
      </c>
      <c r="F11" s="28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27" t="s">
        <v>87</v>
      </c>
      <c r="S11" s="46"/>
      <c r="T11" s="46"/>
      <c r="U11" s="18"/>
      <c r="V11" s="9"/>
      <c r="W11" s="21"/>
      <c r="X11" s="30"/>
      <c r="Y11" s="40"/>
      <c r="Z11" s="26"/>
      <c r="AA11" s="21"/>
      <c r="AB11" s="59"/>
      <c r="AC11" s="60"/>
    </row>
    <row r="12" spans="1:29" ht="21" x14ac:dyDescent="0.15">
      <c r="A12" s="14">
        <f t="shared" si="7"/>
        <v>2</v>
      </c>
      <c r="B12" s="26" t="s">
        <v>65</v>
      </c>
      <c r="C12" s="26" t="s">
        <v>71</v>
      </c>
      <c r="D12" s="29"/>
      <c r="E12" s="44"/>
      <c r="F12" s="37"/>
      <c r="G12" s="52">
        <f t="shared" si="8"/>
        <v>375.3</v>
      </c>
      <c r="H12" s="11">
        <f t="shared" ref="H12" si="19">(ROUND(E11,1)+ROUND(E13,1))/2</f>
        <v>213.10000000000002</v>
      </c>
      <c r="I12" s="53">
        <f t="shared" ref="I12" si="20">J10</f>
        <v>209.9</v>
      </c>
      <c r="J12" s="52">
        <f t="shared" ref="J12" si="21">E13</f>
        <v>216.3</v>
      </c>
      <c r="K12" s="11">
        <f t="shared" ref="K12" si="22">ROUND(I12,1)+ROUND(J12,1)</f>
        <v>426.20000000000005</v>
      </c>
      <c r="L12" s="53">
        <f t="shared" ref="L12" si="23">E11/2-2649*(U10+V10+W10-U12-V12-W12)/(0.976*E11)</f>
        <v>134.81975648044735</v>
      </c>
      <c r="M12" s="52">
        <f t="shared" ref="M12" si="24">E13/2+2649*(U12+V12+W12-U14-V14-W14)/(0.976*E13)</f>
        <v>-18.334163616106977</v>
      </c>
      <c r="N12" s="11">
        <f t="shared" ref="N12" si="25">L12+M12</f>
        <v>116.48559286434038</v>
      </c>
      <c r="O12" s="53">
        <f t="shared" ref="O12" si="26">E11/2-1794*(U10+V10+W10-U12-V12-W12)/(0.976*E11)</f>
        <v>125.17889510227351</v>
      </c>
      <c r="P12" s="52">
        <f t="shared" ref="P12" si="27">E13/2+1794*(U12+V12+W12-U14-V14-W14)/(0.976*E13)</f>
        <v>22.490283304154048</v>
      </c>
      <c r="Q12" s="11">
        <f t="shared" ref="Q12" si="28">O12+P12</f>
        <v>147.66917840642756</v>
      </c>
      <c r="R12" s="27"/>
      <c r="S12" s="46">
        <v>671194.23100000003</v>
      </c>
      <c r="T12" s="46">
        <v>1077090.3089999999</v>
      </c>
      <c r="U12" s="18">
        <v>16.178999999999998</v>
      </c>
      <c r="V12" s="74">
        <v>4.5</v>
      </c>
      <c r="W12" s="49"/>
      <c r="X12" s="30"/>
      <c r="Y12" s="40"/>
      <c r="Z12" s="26"/>
      <c r="AA12" s="10" t="str">
        <f>IF(OR(L12&lt;-600,M12&lt;-600,N12&lt;-1000,L12&gt;600,M12&gt;600,N12&gt;1000,O12&lt;-600,P12&lt;-600,Q12&lt;-1000,O12&gt;600,P12&gt;600,Q12&gt;1000),"Check","Ok")</f>
        <v>Ok</v>
      </c>
      <c r="AB12" s="59"/>
      <c r="AC12" s="60"/>
    </row>
    <row r="13" spans="1:29" x14ac:dyDescent="0.15">
      <c r="A13" s="20"/>
      <c r="B13" s="26"/>
      <c r="C13" s="26"/>
      <c r="D13" s="29"/>
      <c r="E13" s="43">
        <f t="shared" si="6"/>
        <v>216.3</v>
      </c>
      <c r="F13" s="28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27" t="s">
        <v>88</v>
      </c>
      <c r="S13" s="46"/>
      <c r="T13" s="46"/>
      <c r="U13" s="18"/>
      <c r="V13" s="9"/>
      <c r="W13" s="21"/>
      <c r="X13" s="30"/>
      <c r="Y13" s="40"/>
      <c r="Z13" s="26"/>
      <c r="AA13" s="21"/>
      <c r="AB13" s="59"/>
      <c r="AC13" s="60"/>
    </row>
    <row r="14" spans="1:29" ht="21" x14ac:dyDescent="0.15">
      <c r="A14" s="12">
        <f t="shared" si="7"/>
        <v>3</v>
      </c>
      <c r="B14" s="31" t="s">
        <v>64</v>
      </c>
      <c r="C14" s="31" t="s">
        <v>71</v>
      </c>
      <c r="D14" s="32" t="s">
        <v>76</v>
      </c>
      <c r="E14" s="45"/>
      <c r="F14" s="55">
        <f>SUM(E11:E13)</f>
        <v>426.20000000000005</v>
      </c>
      <c r="G14" s="56">
        <f t="shared" si="8"/>
        <v>591.6</v>
      </c>
      <c r="H14" s="19">
        <f t="shared" ref="H14" si="29">(ROUND(E13,1)+ROUND(E15,1))/2</f>
        <v>172.85000000000002</v>
      </c>
      <c r="I14" s="57">
        <f t="shared" ref="I14" si="30">J12</f>
        <v>216.3</v>
      </c>
      <c r="J14" s="56">
        <f t="shared" ref="J14" si="31">E15</f>
        <v>129.4</v>
      </c>
      <c r="K14" s="19">
        <f t="shared" ref="K14" si="32">ROUND(I14,1)+ROUND(J14,1)</f>
        <v>345.70000000000005</v>
      </c>
      <c r="L14" s="57">
        <f t="shared" ref="L14" si="33">E13/2-2649*(U12+V12+W12-U14-V14-W14)/(0.976*E13)</f>
        <v>234.634163616107</v>
      </c>
      <c r="M14" s="56">
        <f t="shared" ref="M14" si="34">E15/2+2649*(U14+V14+W14-U16-V16-W16)/(0.976*E15)</f>
        <v>241.91609984290676</v>
      </c>
      <c r="N14" s="19">
        <f t="shared" ref="N14" si="35">L14+M14</f>
        <v>476.55026345901376</v>
      </c>
      <c r="O14" s="57">
        <f t="shared" ref="O14" si="36">E13/2-1794*(U12+V12+W12-U14-V14-W14)/(0.976*E13)</f>
        <v>193.80971669584596</v>
      </c>
      <c r="P14" s="56">
        <f t="shared" ref="P14" si="37">E15/2+1794*(U14+V14+W14-U16-V16-W16)/(0.976*E15)</f>
        <v>184.71724542022451</v>
      </c>
      <c r="Q14" s="19">
        <f t="shared" ref="Q14" si="38">O14+P14</f>
        <v>378.52696211607048</v>
      </c>
      <c r="R14" s="34"/>
      <c r="S14" s="41">
        <v>671191.76100000006</v>
      </c>
      <c r="T14" s="41">
        <v>1077306.6189999999</v>
      </c>
      <c r="U14" s="13">
        <v>26.259</v>
      </c>
      <c r="V14" s="75">
        <v>4.5</v>
      </c>
      <c r="W14" s="49"/>
      <c r="X14" s="30"/>
      <c r="Y14" s="40"/>
      <c r="Z14" s="31"/>
      <c r="AA14" s="42" t="str">
        <f>IF(OR(L14&lt;-600,M14&lt;-600,N14&lt;-1000,L14&gt;600,M14&gt;600,N14&gt;1000,O14&lt;-600,P14&lt;-600,Q14&lt;-1000,O14&gt;600,P14&gt;600,Q14&gt;1000),"Check","Ok")</f>
        <v>Ok</v>
      </c>
      <c r="AB14" s="61"/>
      <c r="AC14" s="62"/>
    </row>
    <row r="15" spans="1:29" x14ac:dyDescent="0.15">
      <c r="A15" s="20"/>
      <c r="B15" s="26"/>
      <c r="C15" s="26"/>
      <c r="D15" s="29"/>
      <c r="E15" s="43">
        <f t="shared" si="6"/>
        <v>129.4</v>
      </c>
      <c r="F15" s="28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27" t="s">
        <v>89</v>
      </c>
      <c r="S15" s="46"/>
      <c r="T15" s="46"/>
      <c r="U15" s="18"/>
      <c r="V15" s="9"/>
      <c r="W15" s="21"/>
      <c r="X15" s="30"/>
      <c r="Y15" s="40"/>
      <c r="Z15" s="26"/>
      <c r="AA15" s="21"/>
      <c r="AB15" s="59"/>
      <c r="AC15" s="60"/>
    </row>
    <row r="16" spans="1:29" ht="21" x14ac:dyDescent="0.15">
      <c r="A16" s="14">
        <f t="shared" si="7"/>
        <v>4</v>
      </c>
      <c r="B16" s="26" t="s">
        <v>63</v>
      </c>
      <c r="C16" s="26" t="s">
        <v>71</v>
      </c>
      <c r="D16" s="29"/>
      <c r="E16" s="44"/>
      <c r="F16" s="37"/>
      <c r="G16" s="52">
        <f t="shared" si="8"/>
        <v>721</v>
      </c>
      <c r="H16" s="11">
        <f t="shared" ref="H16" si="39">(ROUND(E15,1)+ROUND(E17,1))/2</f>
        <v>163.69999999999999</v>
      </c>
      <c r="I16" s="53">
        <f t="shared" ref="I16" si="40">J14</f>
        <v>129.4</v>
      </c>
      <c r="J16" s="52">
        <f t="shared" ref="J16" si="41">E17</f>
        <v>198</v>
      </c>
      <c r="K16" s="11">
        <f t="shared" ref="K16" si="42">ROUND(I16,1)+ROUND(J16,1)</f>
        <v>327.39999999999998</v>
      </c>
      <c r="L16" s="53">
        <f t="shared" ref="L16" si="43">E15/2-2649*(U14+V14+W14-U16-V16-W16)/(0.976*E15)</f>
        <v>-112.51609984290677</v>
      </c>
      <c r="M16" s="52">
        <f t="shared" ref="M16" si="44">E17/2+2649*(U16+V16+W16-U18-V18-W18)/(0.976*E17)</f>
        <v>140.97320541480377</v>
      </c>
      <c r="N16" s="11">
        <f t="shared" ref="N16" si="45">L16+M16</f>
        <v>28.457105571897003</v>
      </c>
      <c r="O16" s="53">
        <f t="shared" ref="O16" si="46">E15/2-1794*(U14+V14+W14-U16-V16-W16)/(0.976*E15)</f>
        <v>-55.317245420224523</v>
      </c>
      <c r="P16" s="52">
        <f t="shared" ref="P16" si="47">E17/2+1794*(U16+V16+W16-U18-V18-W18)/(0.976*E17)</f>
        <v>127.42579483358172</v>
      </c>
      <c r="Q16" s="11">
        <f t="shared" ref="Q16" si="48">O16+P16</f>
        <v>72.108549413357196</v>
      </c>
      <c r="R16" s="27"/>
      <c r="S16" s="46">
        <v>671186.89399999997</v>
      </c>
      <c r="T16" s="46">
        <v>1077435.953</v>
      </c>
      <c r="U16" s="18">
        <v>17.809999999999999</v>
      </c>
      <c r="V16" s="74">
        <v>4.5</v>
      </c>
      <c r="W16" s="49"/>
      <c r="X16" s="30"/>
      <c r="Y16" s="40"/>
      <c r="Z16" s="26"/>
      <c r="AA16" s="10" t="str">
        <f>IF(OR(L16&lt;-600,M16&lt;-600,N16&lt;-1000,L16&gt;600,M16&gt;600,N16&gt;1000,O16&lt;-600,P16&lt;-600,Q16&lt;-1000,O16&gt;600,P16&gt;600,Q16&gt;1000),"Check","Ok")</f>
        <v>Ok</v>
      </c>
      <c r="AB16" s="59"/>
      <c r="AC16" s="60"/>
    </row>
    <row r="17" spans="1:29" x14ac:dyDescent="0.15">
      <c r="A17" s="20"/>
      <c r="B17" s="26"/>
      <c r="C17" s="26"/>
      <c r="D17" s="29"/>
      <c r="E17" s="43">
        <f t="shared" si="6"/>
        <v>198</v>
      </c>
      <c r="F17" s="28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27" t="s">
        <v>90</v>
      </c>
      <c r="S17" s="46"/>
      <c r="T17" s="46"/>
      <c r="U17" s="18"/>
      <c r="V17" s="9"/>
      <c r="W17" s="21"/>
      <c r="X17" s="30"/>
      <c r="Y17" s="40"/>
      <c r="Z17" s="26"/>
      <c r="AA17" s="21"/>
      <c r="AB17" s="59"/>
      <c r="AC17" s="60"/>
    </row>
    <row r="18" spans="1:29" ht="21" x14ac:dyDescent="0.15">
      <c r="A18" s="14">
        <f t="shared" si="7"/>
        <v>5</v>
      </c>
      <c r="B18" s="26" t="s">
        <v>62</v>
      </c>
      <c r="C18" s="26" t="s">
        <v>71</v>
      </c>
      <c r="D18" s="29"/>
      <c r="E18" s="44"/>
      <c r="F18" s="37"/>
      <c r="G18" s="52">
        <f t="shared" si="8"/>
        <v>919</v>
      </c>
      <c r="H18" s="11">
        <f t="shared" ref="H18" si="49">(ROUND(E17,1)+ROUND(E19,1))/2</f>
        <v>213.55</v>
      </c>
      <c r="I18" s="53">
        <f t="shared" ref="I18" si="50">J16</f>
        <v>198</v>
      </c>
      <c r="J18" s="52">
        <f t="shared" ref="J18" si="51">E19</f>
        <v>229.1</v>
      </c>
      <c r="K18" s="11">
        <f t="shared" ref="K18" si="52">ROUND(I18,1)+ROUND(J18,1)</f>
        <v>427.1</v>
      </c>
      <c r="L18" s="53">
        <f t="shared" ref="L18" si="53">E17/2-2649*(U16+V16+W16-U18-V18-W18)/(0.976*E17)</f>
        <v>57.026794585196228</v>
      </c>
      <c r="M18" s="52">
        <f t="shared" ref="M18" si="54">E19/2+2649*(U18+V18+W18-U20-V20-W20)/(0.976*E19)</f>
        <v>111.84889231561846</v>
      </c>
      <c r="N18" s="11">
        <f t="shared" ref="N18" si="55">L18+M18</f>
        <v>168.87568690081469</v>
      </c>
      <c r="O18" s="53">
        <f t="shared" ref="O18" si="56">E17/2-1794*(U16+V16+W16-U18-V18-W18)/(0.976*E17)</f>
        <v>70.574205166418281</v>
      </c>
      <c r="P18" s="52">
        <f t="shared" ref="P18" si="57">E19/2+1794*(U18+V18+W18-U20-V20-W20)/(0.976*E19)</f>
        <v>112.72071076414477</v>
      </c>
      <c r="Q18" s="11">
        <f t="shared" ref="Q18" si="58">O18+P18</f>
        <v>183.29491593056304</v>
      </c>
      <c r="R18" s="27"/>
      <c r="S18" s="46">
        <v>671179.44799999997</v>
      </c>
      <c r="T18" s="46">
        <v>1077633.8330000001</v>
      </c>
      <c r="U18" s="18">
        <v>14.747999999999999</v>
      </c>
      <c r="V18" s="74">
        <v>4.5</v>
      </c>
      <c r="W18" s="49"/>
      <c r="X18" s="30"/>
      <c r="Y18" s="40"/>
      <c r="Z18" s="26"/>
      <c r="AA18" s="10" t="str">
        <f>IF(OR(L18&lt;-600,M18&lt;-600,N18&lt;-1000,L18&gt;600,M18&gt;600,N18&gt;1000,O18&lt;-600,P18&lt;-600,Q18&lt;-1000,O18&gt;600,P18&gt;600,Q18&gt;1000),"Check","Ok")</f>
        <v>Ok</v>
      </c>
      <c r="AB18" s="59"/>
      <c r="AC18" s="60"/>
    </row>
    <row r="19" spans="1:29" x14ac:dyDescent="0.15">
      <c r="A19" s="20"/>
      <c r="B19" s="26"/>
      <c r="C19" s="26"/>
      <c r="D19" s="29"/>
      <c r="E19" s="43">
        <f t="shared" si="6"/>
        <v>229.1</v>
      </c>
      <c r="F19" s="28"/>
      <c r="G19" s="15"/>
      <c r="H19" s="16"/>
      <c r="I19" s="17"/>
      <c r="J19" s="15"/>
      <c r="K19" s="16"/>
      <c r="L19" s="17"/>
      <c r="M19" s="15"/>
      <c r="N19" s="16"/>
      <c r="O19" s="17"/>
      <c r="P19" s="15"/>
      <c r="Q19" s="16"/>
      <c r="R19" s="27" t="s">
        <v>91</v>
      </c>
      <c r="S19" s="46"/>
      <c r="T19" s="46"/>
      <c r="U19" s="18"/>
      <c r="V19" s="9"/>
      <c r="W19" s="21"/>
      <c r="X19" s="30"/>
      <c r="Y19" s="40"/>
      <c r="Z19" s="26"/>
      <c r="AA19" s="21"/>
      <c r="AB19" s="59"/>
      <c r="AC19" s="60"/>
    </row>
    <row r="20" spans="1:29" ht="21" x14ac:dyDescent="0.15">
      <c r="A20" s="14">
        <f t="shared" si="7"/>
        <v>6</v>
      </c>
      <c r="B20" s="26" t="s">
        <v>61</v>
      </c>
      <c r="C20" s="26" t="s">
        <v>72</v>
      </c>
      <c r="D20" s="29"/>
      <c r="E20" s="44"/>
      <c r="F20" s="37"/>
      <c r="G20" s="52">
        <f t="shared" si="8"/>
        <v>1148.0999999999999</v>
      </c>
      <c r="H20" s="11">
        <f t="shared" ref="H20" si="59">(ROUND(E19,1)+ROUND(E21,1))/2</f>
        <v>219.64999999999998</v>
      </c>
      <c r="I20" s="53">
        <f t="shared" ref="I20" si="60">J18</f>
        <v>229.1</v>
      </c>
      <c r="J20" s="52">
        <f t="shared" ref="J20" si="61">E21</f>
        <v>210.2</v>
      </c>
      <c r="K20" s="11">
        <f t="shared" ref="K20" si="62">ROUND(I20,1)+ROUND(J20,1)</f>
        <v>439.29999999999995</v>
      </c>
      <c r="L20" s="53">
        <f t="shared" ref="L20" si="63">E19/2-2649*(U18+V18+W18-U20-V20-W20)/(0.976*E19)</f>
        <v>117.25110768438154</v>
      </c>
      <c r="M20" s="52">
        <f t="shared" ref="M20" si="64">E21/2+2649*(U20+V20+W20-U22-V22-W22)/(0.976*E21)</f>
        <v>98.127425090858026</v>
      </c>
      <c r="N20" s="11">
        <f t="shared" ref="N20" si="65">L20+M20</f>
        <v>215.37853277523956</v>
      </c>
      <c r="O20" s="53">
        <f t="shared" ref="O20" si="66">E19/2-1794*(U18+V18+W18-U20-V20-W20)/(0.976*E19)</f>
        <v>116.37928923585523</v>
      </c>
      <c r="P20" s="52">
        <f t="shared" ref="P20" si="67">E21/2+1794*(U20+V20+W20-U22-V22-W22)/(0.976*E21)</f>
        <v>100.3779164261983</v>
      </c>
      <c r="Q20" s="11">
        <f t="shared" ref="Q20" si="68">O20+P20</f>
        <v>216.75720566205354</v>
      </c>
      <c r="R20" s="27"/>
      <c r="S20" s="46">
        <v>671170.83499999996</v>
      </c>
      <c r="T20" s="46">
        <v>1077862.7309999999</v>
      </c>
      <c r="U20" s="18">
        <v>14.976000000000001</v>
      </c>
      <c r="V20" s="74">
        <v>4.5</v>
      </c>
      <c r="W20" s="49"/>
      <c r="X20" s="30"/>
      <c r="Y20" s="40"/>
      <c r="Z20" s="26"/>
      <c r="AA20" s="10" t="str">
        <f>IF(OR(L20&lt;105,M20&lt;105,N20&lt;210,L20&gt;300,M20&gt;300,N20&gt;488,O20&lt;105,P20&lt;105,Q20&lt;210,O20&gt;300,P20&gt;300,Q20&gt;488),"Check","Ok")</f>
        <v>Check</v>
      </c>
      <c r="AB20" s="59"/>
      <c r="AC20" s="60"/>
    </row>
    <row r="21" spans="1:29" x14ac:dyDescent="0.15">
      <c r="A21" s="20"/>
      <c r="B21" s="26"/>
      <c r="C21" s="26"/>
      <c r="D21" s="29"/>
      <c r="E21" s="43">
        <f t="shared" si="6"/>
        <v>210.2</v>
      </c>
      <c r="F21" s="28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27" t="s">
        <v>92</v>
      </c>
      <c r="S21" s="46"/>
      <c r="T21" s="46"/>
      <c r="U21" s="18"/>
      <c r="V21" s="9"/>
      <c r="W21" s="21"/>
      <c r="X21" s="30"/>
      <c r="Y21" s="40"/>
      <c r="Z21" s="26"/>
      <c r="AA21" s="21"/>
      <c r="AB21" s="59"/>
      <c r="AC21" s="60"/>
    </row>
    <row r="22" spans="1:29" ht="21" x14ac:dyDescent="0.15">
      <c r="A22" s="14">
        <f t="shared" si="7"/>
        <v>7</v>
      </c>
      <c r="B22" s="26" t="s">
        <v>60</v>
      </c>
      <c r="C22" s="26" t="s">
        <v>72</v>
      </c>
      <c r="D22" s="29"/>
      <c r="E22" s="44"/>
      <c r="F22" s="37"/>
      <c r="G22" s="52">
        <f t="shared" si="8"/>
        <v>1358.3</v>
      </c>
      <c r="H22" s="11">
        <f t="shared" ref="H22" si="69">(ROUND(E21,1)+ROUND(E23,1))/2</f>
        <v>217.45</v>
      </c>
      <c r="I22" s="53">
        <f t="shared" ref="I22" si="70">J20</f>
        <v>210.2</v>
      </c>
      <c r="J22" s="52">
        <f t="shared" ref="J22" si="71">E23</f>
        <v>224.7</v>
      </c>
      <c r="K22" s="11">
        <f t="shared" ref="K22" si="72">ROUND(I22,1)+ROUND(J22,1)</f>
        <v>434.9</v>
      </c>
      <c r="L22" s="53">
        <f t="shared" ref="L22" si="73">E21/2-2649*(U20+V20+W20-U22-V22-W22)/(0.976*E21)</f>
        <v>112.07257490914196</v>
      </c>
      <c r="M22" s="52">
        <f t="shared" ref="M22" si="74">E23/2+2649*(U22+V22+W22-U24-V24-W24)/(0.976*E23)</f>
        <v>111.04547374641595</v>
      </c>
      <c r="N22" s="11">
        <f t="shared" ref="N22" si="75">L22+M22</f>
        <v>223.11804865555791</v>
      </c>
      <c r="O22" s="53">
        <f t="shared" ref="O22" si="76">E21/2-1794*(U20+V20+W20-U22-V22-W22)/(0.976*E21)</f>
        <v>109.82208357380169</v>
      </c>
      <c r="P22" s="52">
        <f t="shared" ref="P22" si="77">E23/2+1794*(U22+V22+W22-U24-V24-W24)/(0.976*E23)</f>
        <v>111.4665269539714</v>
      </c>
      <c r="Q22" s="11">
        <f t="shared" ref="Q22" si="78">O22+P22</f>
        <v>221.28861052777307</v>
      </c>
      <c r="R22" s="27"/>
      <c r="S22" s="46">
        <v>671162.93</v>
      </c>
      <c r="T22" s="46">
        <v>1078072.8130000001</v>
      </c>
      <c r="U22" s="18">
        <v>15.516</v>
      </c>
      <c r="V22" s="74">
        <v>4.5</v>
      </c>
      <c r="W22" s="49"/>
      <c r="X22" s="30"/>
      <c r="Y22" s="40"/>
      <c r="Z22" s="26"/>
      <c r="AA22" s="10" t="str">
        <f>IF(OR(L22&lt;105,M22&lt;105,N22&lt;210,L22&gt;300,M22&gt;300,N22&gt;488,O22&lt;105,P22&lt;105,Q22&lt;210,O22&gt;300,P22&gt;300,Q22&gt;488),"Check","Ok")</f>
        <v>Ok</v>
      </c>
      <c r="AB22" s="59"/>
      <c r="AC22" s="60"/>
    </row>
    <row r="23" spans="1:29" x14ac:dyDescent="0.15">
      <c r="A23" s="20"/>
      <c r="B23" s="26"/>
      <c r="C23" s="26"/>
      <c r="D23" s="29"/>
      <c r="E23" s="43">
        <f t="shared" si="6"/>
        <v>224.7</v>
      </c>
      <c r="F23" s="28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27" t="s">
        <v>93</v>
      </c>
      <c r="S23" s="46"/>
      <c r="T23" s="46"/>
      <c r="U23" s="18"/>
      <c r="V23" s="9"/>
      <c r="W23" s="21"/>
      <c r="X23" s="30"/>
      <c r="Y23" s="40"/>
      <c r="Z23" s="26"/>
      <c r="AA23" s="21"/>
      <c r="AB23" s="59"/>
      <c r="AC23" s="60"/>
    </row>
    <row r="24" spans="1:29" ht="21" x14ac:dyDescent="0.15">
      <c r="A24" s="14">
        <f t="shared" si="7"/>
        <v>8</v>
      </c>
      <c r="B24" s="26" t="s">
        <v>59</v>
      </c>
      <c r="C24" s="26" t="s">
        <v>71</v>
      </c>
      <c r="D24" s="29"/>
      <c r="E24" s="44"/>
      <c r="F24" s="37"/>
      <c r="G24" s="52">
        <f t="shared" si="8"/>
        <v>1583</v>
      </c>
      <c r="H24" s="11">
        <f t="shared" ref="H24" si="79">(ROUND(E23,1)+ROUND(E25,1))/2</f>
        <v>226.8</v>
      </c>
      <c r="I24" s="53">
        <f t="shared" ref="I24" si="80">J22</f>
        <v>224.7</v>
      </c>
      <c r="J24" s="52">
        <f t="shared" ref="J24" si="81">E25</f>
        <v>228.9</v>
      </c>
      <c r="K24" s="11">
        <f t="shared" ref="K24" si="82">ROUND(I24,1)+ROUND(J24,1)</f>
        <v>453.6</v>
      </c>
      <c r="L24" s="53">
        <f t="shared" ref="L24" si="83">E23/2-2649*(U22+V22+W22-U24-V24-W24)/(0.976*E23)</f>
        <v>113.65452625358404</v>
      </c>
      <c r="M24" s="52">
        <f t="shared" ref="M24" si="84">E25/2+2649*(U24+V24+W24-U26-V26-W26)/(0.976*E25)</f>
        <v>108.97192058956239</v>
      </c>
      <c r="N24" s="11">
        <f t="shared" ref="N24" si="85">L24+M24</f>
        <v>222.62644684314643</v>
      </c>
      <c r="O24" s="53">
        <f t="shared" ref="O24" si="86">E23/2-1794*(U22+V22+W22-U24-V24-W24)/(0.976*E23)</f>
        <v>113.23347304602859</v>
      </c>
      <c r="P24" s="52">
        <f t="shared" ref="P24" si="87">E25/2+1794*(U24+V24+W24-U26-V26-W26)/(0.976*E25)</f>
        <v>110.74004361558133</v>
      </c>
      <c r="Q24" s="11">
        <f t="shared" ref="Q24" si="88">O24+P24</f>
        <v>223.97351666160992</v>
      </c>
      <c r="R24" s="27"/>
      <c r="S24" s="46">
        <v>671154.47900000005</v>
      </c>
      <c r="T24" s="46">
        <v>1078297.3940000001</v>
      </c>
      <c r="U24" s="18">
        <v>15.624000000000001</v>
      </c>
      <c r="V24" s="74">
        <v>4.5</v>
      </c>
      <c r="W24" s="49"/>
      <c r="X24" s="30"/>
      <c r="Y24" s="40"/>
      <c r="Z24" s="26"/>
      <c r="AA24" s="10" t="str">
        <f>IF(OR(L24&lt;105,M24&lt;105,N24&lt;210,L24&gt;300,M24&gt;300,N24&gt;488,O24&lt;105,P24&lt;105,Q24&lt;210,O24&gt;300,P24&gt;300,Q24&gt;488),"Check","Ok")</f>
        <v>Ok</v>
      </c>
      <c r="AB24" s="59"/>
      <c r="AC24" s="60"/>
    </row>
    <row r="25" spans="1:29" x14ac:dyDescent="0.15">
      <c r="A25" s="20"/>
      <c r="B25" s="26"/>
      <c r="C25" s="26"/>
      <c r="D25" s="29"/>
      <c r="E25" s="43">
        <f t="shared" si="6"/>
        <v>228.9</v>
      </c>
      <c r="F25" s="28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27" t="s">
        <v>94</v>
      </c>
      <c r="S25" s="46"/>
      <c r="T25" s="46"/>
      <c r="U25" s="18"/>
      <c r="V25" s="9"/>
      <c r="W25" s="21"/>
      <c r="X25" s="30"/>
      <c r="Y25" s="40"/>
      <c r="Z25" s="26"/>
      <c r="AA25" s="21"/>
      <c r="AB25" s="59"/>
      <c r="AC25" s="60"/>
    </row>
    <row r="26" spans="1:29" ht="21" x14ac:dyDescent="0.15">
      <c r="A26" s="14">
        <f t="shared" si="7"/>
        <v>9</v>
      </c>
      <c r="B26" s="26" t="s">
        <v>58</v>
      </c>
      <c r="C26" s="26" t="s">
        <v>72</v>
      </c>
      <c r="D26" s="29"/>
      <c r="E26" s="44"/>
      <c r="F26" s="37"/>
      <c r="G26" s="52">
        <f t="shared" si="8"/>
        <v>1811.9</v>
      </c>
      <c r="H26" s="11">
        <f t="shared" ref="H26" si="89">(ROUND(E25,1)+ROUND(E27,1))/2</f>
        <v>224.85000000000002</v>
      </c>
      <c r="I26" s="53">
        <f t="shared" ref="I26" si="90">J24</f>
        <v>228.9</v>
      </c>
      <c r="J26" s="52">
        <f t="shared" ref="J26" si="91">E27</f>
        <v>220.8</v>
      </c>
      <c r="K26" s="11">
        <f t="shared" ref="K26" si="92">ROUND(I26,1)+ROUND(J26,1)</f>
        <v>449.70000000000005</v>
      </c>
      <c r="L26" s="53">
        <f t="shared" ref="L26" si="93">E25/2-2649*(U24+V24+W24-U26-V26-W26)/(0.976*E25)</f>
        <v>119.92807941043762</v>
      </c>
      <c r="M26" s="52">
        <f t="shared" ref="M26" si="94">E27/2+2649*(U26+V26+W26-U28-V28-W28)/(0.976*E27)</f>
        <v>126.26935640146112</v>
      </c>
      <c r="N26" s="11">
        <f t="shared" ref="N26" si="95">L26+M26</f>
        <v>246.19743581189874</v>
      </c>
      <c r="O26" s="53">
        <f t="shared" ref="O26" si="96">E25/2-1794*(U24+V24+W24-U26-V26-W26)/(0.976*E25)</f>
        <v>118.15995638441868</v>
      </c>
      <c r="P26" s="52">
        <f t="shared" ref="P26" si="97">E27/2+1794*(U26+V26+W26-U28-V28-W28)/(0.976*E27)</f>
        <v>121.14731045081965</v>
      </c>
      <c r="Q26" s="11">
        <f t="shared" ref="Q26" si="98">O26+P26</f>
        <v>239.30726683523832</v>
      </c>
      <c r="R26" s="54"/>
      <c r="S26" s="46">
        <v>671145.87</v>
      </c>
      <c r="T26" s="46">
        <v>1078526.172</v>
      </c>
      <c r="U26" s="18">
        <v>16.085999999999999</v>
      </c>
      <c r="V26" s="74">
        <v>4.5</v>
      </c>
      <c r="W26" s="49"/>
      <c r="X26" s="30"/>
      <c r="Y26" s="40"/>
      <c r="Z26" s="26"/>
      <c r="AA26" s="10" t="str">
        <f>IF(OR(L26&lt;105,M26&lt;105,N26&lt;210,L26&gt;300,M26&gt;300,N26&gt;488,O26&lt;105,P26&lt;105,Q26&lt;210,O26&gt;300,P26&gt;300,Q26&gt;488),"Check","Ok")</f>
        <v>Ok</v>
      </c>
      <c r="AB26" s="59"/>
      <c r="AC26" s="60"/>
    </row>
    <row r="27" spans="1:29" x14ac:dyDescent="0.15">
      <c r="A27" s="20"/>
      <c r="B27" s="26"/>
      <c r="C27" s="26"/>
      <c r="D27" s="29"/>
      <c r="E27" s="43">
        <f t="shared" si="6"/>
        <v>220.8</v>
      </c>
      <c r="F27" s="28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27" t="s">
        <v>95</v>
      </c>
      <c r="S27" s="46"/>
      <c r="T27" s="46"/>
      <c r="U27" s="18"/>
      <c r="V27" s="9"/>
      <c r="W27" s="21"/>
      <c r="X27" s="30"/>
      <c r="Y27" s="40"/>
      <c r="Z27" s="26"/>
      <c r="AA27" s="21"/>
      <c r="AB27" s="59"/>
      <c r="AC27" s="60"/>
    </row>
    <row r="28" spans="1:29" x14ac:dyDescent="0.15">
      <c r="A28" s="14">
        <f t="shared" si="7"/>
        <v>10</v>
      </c>
      <c r="B28" s="26" t="s">
        <v>57</v>
      </c>
      <c r="C28" s="26" t="s">
        <v>73</v>
      </c>
      <c r="D28" s="29"/>
      <c r="E28" s="44"/>
      <c r="F28" s="37"/>
      <c r="G28" s="52">
        <f t="shared" si="8"/>
        <v>2032.7</v>
      </c>
      <c r="H28" s="11">
        <f t="shared" ref="H28" si="99">(ROUND(E27,1)+ROUND(E29,1))/2</f>
        <v>220.10000000000002</v>
      </c>
      <c r="I28" s="53">
        <f t="shared" ref="I28" si="100">J26</f>
        <v>220.8</v>
      </c>
      <c r="J28" s="52">
        <f t="shared" ref="J28" si="101">E29</f>
        <v>219.4</v>
      </c>
      <c r="K28" s="11">
        <f t="shared" ref="K28" si="102">ROUND(I28,1)+ROUND(J28,1)</f>
        <v>440.20000000000005</v>
      </c>
      <c r="L28" s="53">
        <f t="shared" ref="L28" si="103">E27/2-2649*(U26+V26+W26-U28-V28-W28)/(0.976*E27)</f>
        <v>94.530643598538887</v>
      </c>
      <c r="M28" s="52">
        <f t="shared" ref="M28" si="104">E29/2+2649*(U28+V28+W28-U30-V30-W30)/(0.976*E29)</f>
        <v>78.921610353124024</v>
      </c>
      <c r="N28" s="11">
        <f t="shared" ref="N28" si="105">L28+M28</f>
        <v>173.4522539516629</v>
      </c>
      <c r="O28" s="53">
        <f t="shared" ref="O28" si="106">E27/2-1794*(U26+V26+W26-U28-V28-W28)/(0.976*E27)</f>
        <v>99.652689549180366</v>
      </c>
      <c r="P28" s="52">
        <f t="shared" ref="P28" si="107">E29/2+1794*(U28+V28+W28-U30-V30-W30)/(0.976*E29)</f>
        <v>88.855745176860893</v>
      </c>
      <c r="Q28" s="11">
        <f t="shared" ref="Q28" si="108">O28+P28</f>
        <v>188.50843472604126</v>
      </c>
      <c r="R28" s="54"/>
      <c r="S28" s="46">
        <v>671137.56599999999</v>
      </c>
      <c r="T28" s="46">
        <v>1078746.8559999999</v>
      </c>
      <c r="U28" s="18">
        <v>16.295000000000002</v>
      </c>
      <c r="V28" s="9">
        <v>3</v>
      </c>
      <c r="W28" s="49"/>
      <c r="X28" s="30"/>
      <c r="Y28" s="40"/>
      <c r="Z28" s="26"/>
      <c r="AA28" s="10" t="str">
        <f>IF(OR(L28&lt;-600,M28&lt;-600,N28&lt;-1000,L28&gt;600,M28&gt;600,N28&gt;1000,O28&lt;-600,P28&lt;-600,Q28&lt;-1000,O28&gt;600,P28&gt;600,Q28&gt;1000),"Check","Ok")</f>
        <v>Ok</v>
      </c>
      <c r="AB28" s="59"/>
      <c r="AC28" s="60"/>
    </row>
    <row r="29" spans="1:29" ht="21" x14ac:dyDescent="0.15">
      <c r="A29" s="20"/>
      <c r="B29" s="26"/>
      <c r="C29" s="26"/>
      <c r="D29" s="29"/>
      <c r="E29" s="43">
        <f t="shared" si="6"/>
        <v>219.4</v>
      </c>
      <c r="F29" s="28"/>
      <c r="G29" s="15"/>
      <c r="H29" s="16"/>
      <c r="I29" s="17"/>
      <c r="J29" s="15"/>
      <c r="K29" s="16"/>
      <c r="L29" s="17"/>
      <c r="M29" s="15"/>
      <c r="N29" s="16"/>
      <c r="O29" s="17"/>
      <c r="P29" s="15"/>
      <c r="Q29" s="16"/>
      <c r="R29" s="27" t="s">
        <v>96</v>
      </c>
      <c r="S29" s="46"/>
      <c r="T29" s="46"/>
      <c r="U29" s="18"/>
      <c r="V29" s="9"/>
      <c r="W29" s="21"/>
      <c r="X29" s="30"/>
      <c r="Y29" s="40"/>
      <c r="Z29" s="26"/>
      <c r="AA29" s="21"/>
      <c r="AB29" s="59"/>
      <c r="AC29" s="60"/>
    </row>
    <row r="30" spans="1:29" ht="21" x14ac:dyDescent="0.15">
      <c r="A30" s="14">
        <f t="shared" si="7"/>
        <v>11</v>
      </c>
      <c r="B30" s="26" t="s">
        <v>56</v>
      </c>
      <c r="C30" s="26" t="s">
        <v>72</v>
      </c>
      <c r="D30" s="29"/>
      <c r="E30" s="44"/>
      <c r="F30" s="37"/>
      <c r="G30" s="52">
        <f t="shared" si="8"/>
        <v>2252.1</v>
      </c>
      <c r="H30" s="11">
        <f t="shared" ref="H30" si="109">(ROUND(E29,1)+ROUND(E31,1))/2</f>
        <v>207.8</v>
      </c>
      <c r="I30" s="53">
        <f t="shared" ref="I30" si="110">J28</f>
        <v>219.4</v>
      </c>
      <c r="J30" s="52">
        <f t="shared" ref="J30" si="111">E31</f>
        <v>196.2</v>
      </c>
      <c r="K30" s="11">
        <f t="shared" ref="K30" si="112">ROUND(I30,1)+ROUND(J30,1)</f>
        <v>415.6</v>
      </c>
      <c r="L30" s="53">
        <f t="shared" ref="L30" si="113">E29/2-2649*(U28+V28+W28-U30-V30-W30)/(0.976*E29)</f>
        <v>140.47838964687597</v>
      </c>
      <c r="M30" s="52">
        <f t="shared" ref="M30" si="114">E31/2+2649*(U30+V30+W30-U32-V32-W32)/(0.976*E31)</f>
        <v>163.20061036747381</v>
      </c>
      <c r="N30" s="11">
        <f t="shared" ref="N30" si="115">L30+M30</f>
        <v>303.67900001434975</v>
      </c>
      <c r="O30" s="53">
        <f t="shared" ref="O30" si="116">E29/2-1794*(U28+V28+W28-U30-V30-W30)/(0.976*E29)</f>
        <v>130.54425482313911</v>
      </c>
      <c r="P30" s="52">
        <f t="shared" ref="P30" si="117">E31/2+1794*(U30+V30+W30-U32-V32-W32)/(0.976*E31)</f>
        <v>142.18852208352132</v>
      </c>
      <c r="Q30" s="11">
        <f t="shared" ref="Q30" si="118">O30+P30</f>
        <v>272.73277690666043</v>
      </c>
      <c r="R30" s="27"/>
      <c r="S30" s="46">
        <v>671129.31700000004</v>
      </c>
      <c r="T30" s="46">
        <v>1078966.08</v>
      </c>
      <c r="U30" s="18">
        <v>17.283000000000001</v>
      </c>
      <c r="V30" s="74">
        <v>4.5</v>
      </c>
      <c r="W30" s="49"/>
      <c r="X30" s="30"/>
      <c r="Y30" s="40"/>
      <c r="Z30" s="26"/>
      <c r="AA30" s="10" t="str">
        <f>IF(OR(L30&lt;105,M30&lt;105,N30&lt;210,L30&gt;300,M30&gt;300,N30&gt;488,O30&lt;105,P30&lt;105,Q30&lt;210,O30&gt;300,P30&gt;300,Q30&gt;488),"Check","Ok")</f>
        <v>Ok</v>
      </c>
      <c r="AB30" s="59"/>
      <c r="AC30" s="60"/>
    </row>
    <row r="31" spans="1:29" x14ac:dyDescent="0.15">
      <c r="A31" s="20"/>
      <c r="B31" s="26"/>
      <c r="C31" s="26"/>
      <c r="D31" s="29"/>
      <c r="E31" s="43">
        <f t="shared" si="6"/>
        <v>196.2</v>
      </c>
      <c r="F31" s="28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27" t="s">
        <v>97</v>
      </c>
      <c r="S31" s="46"/>
      <c r="T31" s="46"/>
      <c r="U31" s="18"/>
      <c r="V31" s="9"/>
      <c r="W31" s="21"/>
      <c r="X31" s="30"/>
      <c r="Y31" s="40"/>
      <c r="Z31" s="26"/>
      <c r="AA31" s="21"/>
      <c r="AB31" s="59"/>
      <c r="AC31" s="60"/>
    </row>
    <row r="32" spans="1:29" x14ac:dyDescent="0.15">
      <c r="A32" s="12">
        <f t="shared" si="7"/>
        <v>12</v>
      </c>
      <c r="B32" s="31" t="s">
        <v>55</v>
      </c>
      <c r="C32" s="31" t="s">
        <v>70</v>
      </c>
      <c r="D32" s="32" t="s">
        <v>77</v>
      </c>
      <c r="E32" s="45"/>
      <c r="F32" s="55">
        <f>SUM(E15:E31)</f>
        <v>1856.7000000000003</v>
      </c>
      <c r="G32" s="56">
        <f t="shared" si="8"/>
        <v>2448.2999999999997</v>
      </c>
      <c r="H32" s="19">
        <f t="shared" ref="H32" si="119">(ROUND(E31,1)+ROUND(E33,1))/2</f>
        <v>122.39999999999999</v>
      </c>
      <c r="I32" s="57">
        <f t="shared" ref="I32" si="120">J30</f>
        <v>196.2</v>
      </c>
      <c r="J32" s="56">
        <f t="shared" ref="J32" si="121">E33</f>
        <v>48.6</v>
      </c>
      <c r="K32" s="19">
        <f t="shared" ref="K32" si="122">ROUND(I32,1)+ROUND(J32,1)</f>
        <v>244.79999999999998</v>
      </c>
      <c r="L32" s="57">
        <f t="shared" ref="L32" si="123">E31/2-2649*(U30+V30+W30-U32-V32-W32)/(0.976*E31)</f>
        <v>32.999389632526189</v>
      </c>
      <c r="M32" s="56">
        <f t="shared" ref="M32" si="124">E33/2+2649*(U32+V32+W32-U34-V34-W34)/(0.976*E33)</f>
        <v>7.7135928961750295</v>
      </c>
      <c r="N32" s="19">
        <f t="shared" ref="N32" si="125">L32+M32</f>
        <v>40.712982528701218</v>
      </c>
      <c r="O32" s="57">
        <f t="shared" ref="O32" si="126">E31/2-1794*(U30+V30+W30-U32-V32-W32)/(0.976*E31)</f>
        <v>54.011477916478668</v>
      </c>
      <c r="P32" s="56">
        <f t="shared" ref="P32" si="127">E33/2+1794*(U32+V32+W32-U34-V34-W34)/(0.976*E33)</f>
        <v>13.067076502732352</v>
      </c>
      <c r="Q32" s="19">
        <f t="shared" ref="Q32" si="128">O32+P32</f>
        <v>67.078554419211017</v>
      </c>
      <c r="R32" s="34"/>
      <c r="S32" s="41">
        <v>671121.93799999997</v>
      </c>
      <c r="T32" s="41">
        <v>1079162.1610000001</v>
      </c>
      <c r="U32" s="13">
        <v>17.077000000000002</v>
      </c>
      <c r="V32" s="33">
        <v>0</v>
      </c>
      <c r="W32" s="49"/>
      <c r="X32" s="30"/>
      <c r="Y32" s="40"/>
      <c r="Z32" s="31"/>
      <c r="AA32" s="42" t="str">
        <f>IF(OR(L32&lt;-600,M32&lt;-600,N32&lt;-1000,L32&gt;600,M32&gt;600,N32&gt;1000,O32&lt;-600,P32&lt;-600,Q32&lt;-1000,O32&gt;600,P32&gt;600,Q32&gt;1000),"Check","Ok")</f>
        <v>Ok</v>
      </c>
      <c r="AB32" s="61"/>
      <c r="AC32" s="62"/>
    </row>
    <row r="33" spans="1:29" x14ac:dyDescent="0.15">
      <c r="A33" s="20"/>
      <c r="B33" s="26"/>
      <c r="C33" s="26"/>
      <c r="D33" s="29"/>
      <c r="E33" s="43">
        <f t="shared" si="6"/>
        <v>48.6</v>
      </c>
      <c r="F33" s="28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27" t="s">
        <v>98</v>
      </c>
      <c r="S33" s="46"/>
      <c r="T33" s="46"/>
      <c r="U33" s="18"/>
      <c r="V33" s="9"/>
      <c r="W33" s="21"/>
      <c r="X33" s="30"/>
      <c r="Y33" s="40"/>
      <c r="Z33" s="26"/>
      <c r="AA33" s="21"/>
      <c r="AB33" s="59"/>
      <c r="AC33" s="60"/>
    </row>
    <row r="34" spans="1:29" x14ac:dyDescent="0.15">
      <c r="A34" s="14">
        <f t="shared" si="7"/>
        <v>13</v>
      </c>
      <c r="B34" s="26" t="s">
        <v>49</v>
      </c>
      <c r="C34" s="26" t="s">
        <v>70</v>
      </c>
      <c r="D34" s="29"/>
      <c r="E34" s="44"/>
      <c r="F34" s="37"/>
      <c r="G34" s="52">
        <f t="shared" si="8"/>
        <v>2496.8999999999996</v>
      </c>
      <c r="H34" s="11">
        <f t="shared" ref="H34" si="129">(ROUND(E33,1)+ROUND(E35,1))/2</f>
        <v>97.149999999999991</v>
      </c>
      <c r="I34" s="53">
        <f t="shared" ref="I34" si="130">J32</f>
        <v>48.6</v>
      </c>
      <c r="J34" s="52">
        <f t="shared" ref="J34" si="131">E35</f>
        <v>145.69999999999999</v>
      </c>
      <c r="K34" s="11">
        <f t="shared" ref="K34" si="132">ROUND(I34,1)+ROUND(J34,1)</f>
        <v>194.29999999999998</v>
      </c>
      <c r="L34" s="53">
        <f t="shared" ref="L34" si="133">E33/2-2649*(U32+V32+W32-U34-V34-W34)/(0.976*E33)</f>
        <v>40.886407103824972</v>
      </c>
      <c r="M34" s="52">
        <f t="shared" ref="M34" si="134">E35/2+2649*(U34+V34+W34-U36-V36-W36)/(0.976*E35)</f>
        <v>-49.77991972051268</v>
      </c>
      <c r="N34" s="11">
        <f t="shared" ref="N34" si="135">L34+M34</f>
        <v>-8.8935126166877083</v>
      </c>
      <c r="O34" s="53">
        <f t="shared" ref="O34" si="136">E33/2-1794*(U32+V32+W32-U34-V34-W34)/(0.976*E33)</f>
        <v>35.532923497267646</v>
      </c>
      <c r="P34" s="52">
        <f t="shared" ref="P34" si="137">E35/2+1794*(U34+V34+W34-U36-V36-W36)/(0.976*E35)</f>
        <v>-10.199481305624673</v>
      </c>
      <c r="Q34" s="11">
        <f t="shared" ref="Q34" si="138">O34+P34</f>
        <v>25.333442191642973</v>
      </c>
      <c r="R34" s="27"/>
      <c r="S34" s="46">
        <v>671074.69299999997</v>
      </c>
      <c r="T34" s="46">
        <v>1079173.3430000001</v>
      </c>
      <c r="U34" s="18">
        <v>17.373999999999999</v>
      </c>
      <c r="V34" s="9">
        <v>0</v>
      </c>
      <c r="W34" s="49"/>
      <c r="X34" s="30"/>
      <c r="Y34" s="40"/>
      <c r="Z34" s="26"/>
      <c r="AA34" s="10" t="str">
        <f>IF(OR(L34&lt;-600,M34&lt;-600,N34&lt;-1000,L34&gt;600,M34&gt;600,N34&gt;1000,O34&lt;-600,P34&lt;-600,Q34&lt;-1000,O34&gt;600,P34&gt;600,Q34&gt;1000),"Check","Ok")</f>
        <v>Ok</v>
      </c>
      <c r="AB34" s="59"/>
      <c r="AC34" s="60"/>
    </row>
    <row r="35" spans="1:29" x14ac:dyDescent="0.15">
      <c r="A35" s="20"/>
      <c r="B35" s="26"/>
      <c r="C35" s="26"/>
      <c r="D35" s="29"/>
      <c r="E35" s="43">
        <f t="shared" si="6"/>
        <v>145.69999999999999</v>
      </c>
      <c r="F35" s="28"/>
      <c r="G35" s="15"/>
      <c r="H35" s="16"/>
      <c r="I35" s="17"/>
      <c r="J35" s="15"/>
      <c r="K35" s="16"/>
      <c r="L35" s="17"/>
      <c r="M35" s="15"/>
      <c r="N35" s="16"/>
      <c r="O35" s="17"/>
      <c r="P35" s="15"/>
      <c r="Q35" s="16"/>
      <c r="R35" s="27" t="s">
        <v>99</v>
      </c>
      <c r="S35" s="46"/>
      <c r="T35" s="46"/>
      <c r="U35" s="18"/>
      <c r="V35" s="9"/>
      <c r="W35" s="21"/>
      <c r="X35" s="30"/>
      <c r="Y35" s="40"/>
      <c r="Z35" s="26"/>
      <c r="AA35" s="21"/>
      <c r="AB35" s="59"/>
      <c r="AC35" s="60"/>
    </row>
    <row r="36" spans="1:29" ht="21" x14ac:dyDescent="0.15">
      <c r="A36" s="12">
        <f t="shared" si="7"/>
        <v>14</v>
      </c>
      <c r="B36" s="31" t="s">
        <v>42</v>
      </c>
      <c r="C36" s="31" t="s">
        <v>71</v>
      </c>
      <c r="D36" s="32" t="s">
        <v>78</v>
      </c>
      <c r="E36" s="45"/>
      <c r="F36" s="55">
        <f>SUM(E33:E35)</f>
        <v>194.29999999999998</v>
      </c>
      <c r="G36" s="56">
        <f t="shared" si="8"/>
        <v>2642.5999999999995</v>
      </c>
      <c r="H36" s="19">
        <f t="shared" ref="H36" si="139">(ROUND(E35,1)+ROUND(E37,1))/2</f>
        <v>265.35000000000002</v>
      </c>
      <c r="I36" s="57">
        <f t="shared" ref="I36" si="140">J34</f>
        <v>145.69999999999999</v>
      </c>
      <c r="J36" s="56">
        <f t="shared" ref="J36" si="141">E37</f>
        <v>385</v>
      </c>
      <c r="K36" s="19">
        <f t="shared" ref="K36" si="142">ROUND(I36,1)+ROUND(J36,1)</f>
        <v>530.70000000000005</v>
      </c>
      <c r="L36" s="57">
        <f t="shared" ref="L36" si="143">E35/2-2649*(U34+V34+W34-U36-V36-W36)/(0.976*E35)</f>
        <v>195.47991972051267</v>
      </c>
      <c r="M36" s="56">
        <f t="shared" ref="M36" si="144">E37/2+2649*(U36+V36+W36-U38-V38-W38)/(0.976*E37)</f>
        <v>-3.0660767511177482</v>
      </c>
      <c r="N36" s="19">
        <f t="shared" ref="N36" si="145">L36+M36</f>
        <v>192.41384296939492</v>
      </c>
      <c r="O36" s="57">
        <f t="shared" ref="O36" si="146">E35/2-1794*(U34+V34+W34-U36-V36-W36)/(0.976*E35)</f>
        <v>155.89948130562465</v>
      </c>
      <c r="P36" s="56">
        <f t="shared" ref="P36" si="147">E37/2+1794*(U36+V36+W36-U38-V38-W38)/(0.976*E37)</f>
        <v>60.055476900149017</v>
      </c>
      <c r="Q36" s="19">
        <f t="shared" ref="Q36" si="148">O36+P36</f>
        <v>215.95495820577366</v>
      </c>
      <c r="R36" s="58"/>
      <c r="S36" s="41">
        <v>670932.946</v>
      </c>
      <c r="T36" s="41">
        <v>1079206.892</v>
      </c>
      <c r="U36" s="13">
        <v>19.457000000000001</v>
      </c>
      <c r="V36" s="75">
        <v>4.5</v>
      </c>
      <c r="W36" s="49"/>
      <c r="X36" s="30"/>
      <c r="Y36" s="40"/>
      <c r="Z36" s="31"/>
      <c r="AA36" s="42" t="str">
        <f>IF(OR(L36&lt;-600,M36&lt;-600,N36&lt;-1000,L36&gt;600,M36&gt;600,N36&gt;1000,O36&lt;-600,P36&lt;-600,Q36&lt;-1000,O36&gt;600,P36&gt;600,Q36&gt;1000),"Check","Ok")</f>
        <v>Ok</v>
      </c>
      <c r="AB36" s="61"/>
      <c r="AC36" s="62"/>
    </row>
    <row r="37" spans="1:29" ht="21" x14ac:dyDescent="0.15">
      <c r="A37" s="20"/>
      <c r="B37" s="26"/>
      <c r="C37" s="26"/>
      <c r="D37" s="29"/>
      <c r="E37" s="43">
        <f t="shared" ref="E37:E49" si="149">ROUND(SQRT((S36-S38)^2+(T36-T38)^2),1)</f>
        <v>385</v>
      </c>
      <c r="F37" s="28"/>
      <c r="G37" s="15"/>
      <c r="H37" s="16"/>
      <c r="I37" s="17"/>
      <c r="J37" s="15"/>
      <c r="K37" s="16"/>
      <c r="L37" s="17"/>
      <c r="M37" s="15"/>
      <c r="N37" s="16"/>
      <c r="O37" s="17"/>
      <c r="P37" s="15"/>
      <c r="Q37" s="16"/>
      <c r="R37" s="27" t="s">
        <v>100</v>
      </c>
      <c r="S37" s="46"/>
      <c r="T37" s="46"/>
      <c r="U37" s="18"/>
      <c r="V37" s="9"/>
      <c r="W37" s="21"/>
      <c r="X37" s="30"/>
      <c r="Y37" s="40"/>
      <c r="Z37" s="26"/>
      <c r="AA37" s="21"/>
      <c r="AB37" s="59"/>
      <c r="AC37" s="60"/>
    </row>
    <row r="38" spans="1:29" ht="21" x14ac:dyDescent="0.15">
      <c r="A38" s="14">
        <f t="shared" si="7"/>
        <v>15</v>
      </c>
      <c r="B38" s="26" t="s">
        <v>43</v>
      </c>
      <c r="C38" s="26" t="s">
        <v>71</v>
      </c>
      <c r="D38" s="29"/>
      <c r="E38" s="44"/>
      <c r="F38" s="37"/>
      <c r="G38" s="52">
        <f t="shared" si="8"/>
        <v>3027.5999999999995</v>
      </c>
      <c r="H38" s="11">
        <f t="shared" ref="H38" si="150">(ROUND(E37,1)+ROUND(E39,1))/2</f>
        <v>372.45</v>
      </c>
      <c r="I38" s="53">
        <f t="shared" ref="I38" si="151">J36</f>
        <v>385</v>
      </c>
      <c r="J38" s="52">
        <f t="shared" ref="J38" si="152">E39</f>
        <v>359.9</v>
      </c>
      <c r="K38" s="11">
        <f t="shared" ref="K38" si="153">ROUND(I38,1)+ROUND(J38,1)</f>
        <v>744.9</v>
      </c>
      <c r="L38" s="53">
        <f t="shared" ref="L38" si="154">E37/2-2649*(U36+V36+W36-U38-V38-W38)/(0.976*E37)</f>
        <v>388.06607675111775</v>
      </c>
      <c r="M38" s="52">
        <f t="shared" ref="M38" si="155">E39/2+2649*(U38+V38+W38-U40-V40-W40)/(0.976*E39)</f>
        <v>-124.60071764014594</v>
      </c>
      <c r="N38" s="11">
        <f t="shared" ref="N38" si="156">L38+M38</f>
        <v>263.4653591109718</v>
      </c>
      <c r="O38" s="53">
        <f t="shared" ref="O38" si="157">E37/2-1794*(U36+V36+W36-U38-V38-W38)/(0.976*E37)</f>
        <v>324.94452309985098</v>
      </c>
      <c r="P38" s="52">
        <f t="shared" ref="P38" si="158">E39/2+1794*(U38+V38+W38-U40-V40-W40)/(0.976*E39)</f>
        <v>-26.302920893326501</v>
      </c>
      <c r="Q38" s="11">
        <f t="shared" ref="Q38" si="159">O38+P38</f>
        <v>298.64160220652445</v>
      </c>
      <c r="R38" s="54" t="s">
        <v>102</v>
      </c>
      <c r="S38" s="77">
        <v>670552.07400000002</v>
      </c>
      <c r="T38" s="77">
        <v>1079263.1029999999</v>
      </c>
      <c r="U38" s="18">
        <v>47.198</v>
      </c>
      <c r="V38" s="74">
        <v>4.5</v>
      </c>
      <c r="W38" s="49"/>
      <c r="X38" s="30"/>
      <c r="Y38" s="40"/>
      <c r="Z38" s="26"/>
      <c r="AA38" s="10" t="str">
        <f>IF(OR(L38&lt;-600,M38&lt;-600,N38&lt;-1000,L38&gt;600,M38&gt;600,N38&gt;1000,O38&lt;-600,P38&lt;-600,Q38&lt;-1000,O38&gt;600,P38&gt;600,Q38&gt;1000),"Check","Ok")</f>
        <v>Ok</v>
      </c>
      <c r="AB38" s="59"/>
      <c r="AC38" s="60"/>
    </row>
    <row r="39" spans="1:29" ht="21" x14ac:dyDescent="0.15">
      <c r="A39" s="20"/>
      <c r="B39" s="26"/>
      <c r="C39" s="26"/>
      <c r="D39" s="29"/>
      <c r="E39" s="43">
        <f t="shared" si="149"/>
        <v>359.9</v>
      </c>
      <c r="F39" s="28"/>
      <c r="G39" s="15"/>
      <c r="H39" s="16"/>
      <c r="I39" s="17"/>
      <c r="J39" s="15"/>
      <c r="K39" s="16"/>
      <c r="L39" s="17"/>
      <c r="M39" s="15"/>
      <c r="N39" s="16"/>
      <c r="O39" s="17"/>
      <c r="P39" s="15"/>
      <c r="Q39" s="16"/>
      <c r="R39" s="27" t="s">
        <v>101</v>
      </c>
      <c r="S39" s="46"/>
      <c r="T39" s="46"/>
      <c r="U39" s="18"/>
      <c r="V39" s="9"/>
      <c r="W39" s="21"/>
      <c r="X39" s="30"/>
      <c r="Y39" s="40"/>
      <c r="Z39" s="26"/>
      <c r="AA39" s="21"/>
      <c r="AB39" s="59"/>
      <c r="AC39" s="60"/>
    </row>
    <row r="40" spans="1:29" x14ac:dyDescent="0.15">
      <c r="A40" s="12">
        <f t="shared" ref="A40:A50" si="160">A38+1</f>
        <v>16</v>
      </c>
      <c r="B40" s="31" t="s">
        <v>44</v>
      </c>
      <c r="C40" s="31" t="s">
        <v>73</v>
      </c>
      <c r="D40" s="32" t="s">
        <v>79</v>
      </c>
      <c r="E40" s="45"/>
      <c r="F40" s="55">
        <f>SUM(E37:E39)</f>
        <v>744.9</v>
      </c>
      <c r="G40" s="56">
        <f t="shared" ref="G40:G50" si="161">G38+E39</f>
        <v>3387.4999999999995</v>
      </c>
      <c r="H40" s="19">
        <f t="shared" ref="H40" si="162">(ROUND(E39,1)+ROUND(E41,1))/2</f>
        <v>514.75</v>
      </c>
      <c r="I40" s="57">
        <f t="shared" ref="I40" si="163">J38</f>
        <v>359.9</v>
      </c>
      <c r="J40" s="56">
        <f t="shared" ref="J40" si="164">E41</f>
        <v>669.6</v>
      </c>
      <c r="K40" s="19">
        <f t="shared" ref="K40" si="165">ROUND(I40,1)+ROUND(J40,1)</f>
        <v>1029.5</v>
      </c>
      <c r="L40" s="57">
        <f t="shared" ref="L40" si="166">E39/2-2649*(U38+V38+W38-U40-V40-W40)/(0.976*E39)</f>
        <v>484.50071764014592</v>
      </c>
      <c r="M40" s="56">
        <f t="shared" ref="M40" si="167">E41/2+2649*(U40+V40+W40-U42-V42-W42)/(0.976*E41)</f>
        <v>469.76925311416653</v>
      </c>
      <c r="N40" s="19">
        <f t="shared" ref="N40" si="168">L40+M40</f>
        <v>954.26997075431245</v>
      </c>
      <c r="O40" s="57">
        <f t="shared" ref="O40" si="169">E39/2-1794*(U38+V38+W38-U40-V40-W40)/(0.976*E39)</f>
        <v>386.20292089332645</v>
      </c>
      <c r="P40" s="56">
        <f t="shared" ref="P40" si="170">E41/2+1794*(U40+V40+W40-U42-V42-W42)/(0.976*E41)</f>
        <v>426.20613064809919</v>
      </c>
      <c r="Q40" s="19">
        <f t="shared" ref="Q40" si="171">O40+P40</f>
        <v>812.4090515414257</v>
      </c>
      <c r="R40" s="34"/>
      <c r="S40" s="41">
        <v>670196.07900000003</v>
      </c>
      <c r="T40" s="41">
        <v>1079315.642</v>
      </c>
      <c r="U40" s="13">
        <v>89.081999999999994</v>
      </c>
      <c r="V40" s="33">
        <v>3</v>
      </c>
      <c r="W40" s="49"/>
      <c r="X40" s="30"/>
      <c r="Y40" s="40"/>
      <c r="Z40" s="31"/>
      <c r="AA40" s="42" t="str">
        <f>IF(OR(L40&lt;-600,M40&lt;-600,N40&lt;-1000,L40&gt;600,M40&gt;600,N40&gt;1000,O40&lt;-600,P40&lt;-600,Q40&lt;-1000,O40&gt;600,P40&gt;600,Q40&gt;1000),"Check","Ok")</f>
        <v>Ok</v>
      </c>
      <c r="AB40" s="61"/>
      <c r="AC40" s="62"/>
    </row>
    <row r="41" spans="1:29" ht="21" x14ac:dyDescent="0.15">
      <c r="A41" s="20"/>
      <c r="B41" s="26"/>
      <c r="C41" s="26"/>
      <c r="D41" s="29"/>
      <c r="E41" s="43">
        <f t="shared" si="149"/>
        <v>669.6</v>
      </c>
      <c r="F41" s="28"/>
      <c r="G41" s="15"/>
      <c r="H41" s="16"/>
      <c r="I41" s="17"/>
      <c r="J41" s="15"/>
      <c r="K41" s="16"/>
      <c r="L41" s="17"/>
      <c r="M41" s="15"/>
      <c r="N41" s="16"/>
      <c r="O41" s="17"/>
      <c r="P41" s="15"/>
      <c r="Q41" s="16"/>
      <c r="R41" s="27" t="s">
        <v>103</v>
      </c>
      <c r="S41" s="46"/>
      <c r="T41" s="46"/>
      <c r="U41" s="18"/>
      <c r="V41" s="9"/>
      <c r="W41" s="21"/>
      <c r="X41" s="30"/>
      <c r="Y41" s="40"/>
      <c r="Z41" s="26"/>
      <c r="AA41" s="21"/>
      <c r="AB41" s="59"/>
      <c r="AC41" s="60"/>
    </row>
    <row r="42" spans="1:29" ht="21" x14ac:dyDescent="0.15">
      <c r="A42" s="12">
        <f t="shared" si="160"/>
        <v>17</v>
      </c>
      <c r="B42" s="31" t="s">
        <v>45</v>
      </c>
      <c r="C42" s="31" t="s">
        <v>71</v>
      </c>
      <c r="D42" s="32" t="s">
        <v>80</v>
      </c>
      <c r="E42" s="45"/>
      <c r="F42" s="55">
        <f>SUM(E41)</f>
        <v>669.6</v>
      </c>
      <c r="G42" s="56">
        <f t="shared" si="161"/>
        <v>4057.0999999999995</v>
      </c>
      <c r="H42" s="19">
        <f t="shared" ref="H42" si="172">(ROUND(E41,1)+ROUND(E43,1))/2</f>
        <v>514.1</v>
      </c>
      <c r="I42" s="57">
        <f t="shared" ref="I42" si="173">J40</f>
        <v>669.6</v>
      </c>
      <c r="J42" s="56">
        <f t="shared" ref="J42" si="174">E43</f>
        <v>358.6</v>
      </c>
      <c r="K42" s="19">
        <f t="shared" ref="K42" si="175">ROUND(I42,1)+ROUND(J42,1)</f>
        <v>1028.2</v>
      </c>
      <c r="L42" s="57">
        <f t="shared" ref="L42" si="176">E41/2-2649*(U40+V40+W40-U42-V42-W42)/(0.976*E41)</f>
        <v>199.83074688583349</v>
      </c>
      <c r="M42" s="56">
        <f t="shared" ref="M42" si="177">E43/2+2649*(U42+V42+W42-U44-V44-W44)/(0.976*E43)</f>
        <v>272.96278411948106</v>
      </c>
      <c r="N42" s="19">
        <f t="shared" ref="N42" si="178">L42+M42</f>
        <v>472.79353100531455</v>
      </c>
      <c r="O42" s="57">
        <f t="shared" ref="O42" si="179">E41/2-1794*(U40+V40+W40-U42-V42-W42)/(0.976*E41)</f>
        <v>243.39386935190083</v>
      </c>
      <c r="P42" s="56">
        <f t="shared" ref="P42" si="180">E43/2+1794*(U42+V42+W42-U44-V44-W44)/(0.976*E43)</f>
        <v>242.7318741828422</v>
      </c>
      <c r="Q42" s="19">
        <f t="shared" ref="Q42" si="181">O42+P42</f>
        <v>486.12574353474304</v>
      </c>
      <c r="R42" s="58"/>
      <c r="S42" s="41">
        <v>669527.93400000001</v>
      </c>
      <c r="T42" s="41">
        <v>1079359.584</v>
      </c>
      <c r="U42" s="13">
        <v>54.283999999999999</v>
      </c>
      <c r="V42" s="75">
        <v>4.5</v>
      </c>
      <c r="W42" s="49"/>
      <c r="X42" s="30"/>
      <c r="Y42" s="40"/>
      <c r="Z42" s="31"/>
      <c r="AA42" s="42" t="str">
        <f>IF(OR(L42&lt;-600,M42&lt;-600,N42&lt;-1000,L42&gt;600,M42&gt;600,N42&gt;1000,O42&lt;-600,P42&lt;-600,Q42&lt;-1000,O42&gt;600,P42&gt;600,Q42&gt;1000),"Check","Ok")</f>
        <v>Ok</v>
      </c>
      <c r="AB42" s="61"/>
      <c r="AC42" s="62"/>
    </row>
    <row r="43" spans="1:29" x14ac:dyDescent="0.15">
      <c r="A43" s="20"/>
      <c r="B43" s="26"/>
      <c r="C43" s="26"/>
      <c r="D43" s="29"/>
      <c r="E43" s="43">
        <f t="shared" si="149"/>
        <v>358.6</v>
      </c>
      <c r="F43" s="28"/>
      <c r="G43" s="15"/>
      <c r="H43" s="16"/>
      <c r="I43" s="17"/>
      <c r="J43" s="15"/>
      <c r="K43" s="16"/>
      <c r="L43" s="17"/>
      <c r="M43" s="15"/>
      <c r="N43" s="16"/>
      <c r="O43" s="17"/>
      <c r="P43" s="15"/>
      <c r="Q43" s="16"/>
      <c r="R43" s="27" t="s">
        <v>104</v>
      </c>
      <c r="S43" s="46"/>
      <c r="T43" s="46"/>
      <c r="U43" s="18"/>
      <c r="V43" s="9"/>
      <c r="W43" s="21"/>
      <c r="X43" s="30"/>
      <c r="Y43" s="40"/>
      <c r="Z43" s="26"/>
      <c r="AA43" s="21"/>
      <c r="AB43" s="59"/>
      <c r="AC43" s="60"/>
    </row>
    <row r="44" spans="1:29" x14ac:dyDescent="0.15">
      <c r="A44" s="12">
        <f t="shared" si="160"/>
        <v>18</v>
      </c>
      <c r="B44" s="31" t="s">
        <v>46</v>
      </c>
      <c r="C44" s="31" t="s">
        <v>73</v>
      </c>
      <c r="D44" s="32" t="s">
        <v>81</v>
      </c>
      <c r="E44" s="45"/>
      <c r="F44" s="55">
        <f>SUM(E43)</f>
        <v>358.6</v>
      </c>
      <c r="G44" s="56">
        <f t="shared" si="161"/>
        <v>4415.7</v>
      </c>
      <c r="H44" s="19">
        <f t="shared" ref="H44" si="182">(ROUND(E43,1)+ROUND(E45,1))/2</f>
        <v>308</v>
      </c>
      <c r="I44" s="57">
        <f t="shared" ref="I44" si="183">J42</f>
        <v>358.6</v>
      </c>
      <c r="J44" s="56">
        <f t="shared" ref="J44" si="184">E45</f>
        <v>257.39999999999998</v>
      </c>
      <c r="K44" s="19">
        <f t="shared" ref="K44" si="185">ROUND(I44,1)+ROUND(J44,1)</f>
        <v>616</v>
      </c>
      <c r="L44" s="57">
        <f t="shared" ref="L44" si="186">E43/2-2649*(U42+V42+W42-U44-V44-W44)/(0.976*E43)</f>
        <v>85.63721588051898</v>
      </c>
      <c r="M44" s="56">
        <f t="shared" ref="M44" si="187">E45/2+2649*(U44+V44+W44-U46-V46-W46)/(0.976*E45)</f>
        <v>33.842200695479335</v>
      </c>
      <c r="N44" s="19">
        <f t="shared" ref="N44" si="188">L44+M44</f>
        <v>119.47941657599831</v>
      </c>
      <c r="O44" s="57">
        <f t="shared" ref="O44" si="189">E43/2-1794*(U42+V42+W42-U44-V44-W44)/(0.976*E43)</f>
        <v>115.86812581715782</v>
      </c>
      <c r="P44" s="56">
        <f t="shared" ref="P44" si="190">E45/2+1794*(U44+V44+W44-U46-V46-W46)/(0.976*E45)</f>
        <v>64.458817685047151</v>
      </c>
      <c r="Q44" s="19">
        <f t="shared" ref="Q44" si="191">O44+P44</f>
        <v>180.32694350220498</v>
      </c>
      <c r="R44" s="58"/>
      <c r="S44" s="41">
        <v>669170.027</v>
      </c>
      <c r="T44" s="41">
        <v>1079382.4550000001</v>
      </c>
      <c r="U44" s="13">
        <v>43.408999999999999</v>
      </c>
      <c r="V44" s="33">
        <v>3</v>
      </c>
      <c r="W44" s="49"/>
      <c r="X44" s="30"/>
      <c r="Y44" s="40"/>
      <c r="Z44" s="31"/>
      <c r="AA44" s="42" t="str">
        <f>IF(OR(L44&lt;105,M44&lt;105,N44&lt;210,L44&gt;300,M44&gt;300,N44&gt;488,O44&lt;105,P44&lt;105,Q44&lt;210,O44&gt;300,P44&gt;300,Q44&gt;488),"Check","Ok")</f>
        <v>Check</v>
      </c>
      <c r="AB44" s="61"/>
      <c r="AC44" s="62"/>
    </row>
    <row r="45" spans="1:29" x14ac:dyDescent="0.15">
      <c r="A45" s="20"/>
      <c r="B45" s="26"/>
      <c r="C45" s="26"/>
      <c r="D45" s="29"/>
      <c r="E45" s="43">
        <f t="shared" si="149"/>
        <v>257.39999999999998</v>
      </c>
      <c r="F45" s="28"/>
      <c r="G45" s="15"/>
      <c r="H45" s="16"/>
      <c r="I45" s="17"/>
      <c r="J45" s="15"/>
      <c r="K45" s="16"/>
      <c r="L45" s="17"/>
      <c r="M45" s="15"/>
      <c r="N45" s="16"/>
      <c r="O45" s="17"/>
      <c r="P45" s="15"/>
      <c r="Q45" s="16"/>
      <c r="R45" s="27" t="s">
        <v>105</v>
      </c>
      <c r="S45" s="46"/>
      <c r="T45" s="46"/>
      <c r="U45" s="18"/>
      <c r="V45" s="9"/>
      <c r="W45" s="21"/>
      <c r="X45" s="30"/>
      <c r="Y45" s="40"/>
      <c r="Z45" s="26"/>
      <c r="AA45" s="21"/>
      <c r="AB45" s="59"/>
      <c r="AC45" s="60"/>
    </row>
    <row r="46" spans="1:29" ht="21" x14ac:dyDescent="0.15">
      <c r="A46" s="12">
        <f t="shared" si="160"/>
        <v>19</v>
      </c>
      <c r="B46" s="31" t="s">
        <v>47</v>
      </c>
      <c r="C46" s="31" t="s">
        <v>74</v>
      </c>
      <c r="D46" s="32" t="s">
        <v>82</v>
      </c>
      <c r="E46" s="45"/>
      <c r="F46" s="55">
        <f>SUM(E45)</f>
        <v>257.39999999999998</v>
      </c>
      <c r="G46" s="56">
        <f t="shared" si="161"/>
        <v>4673.0999999999995</v>
      </c>
      <c r="H46" s="19">
        <f t="shared" ref="H46" si="192">(ROUND(E45,1)+ROUND(E47,1))/2</f>
        <v>170.04999999999998</v>
      </c>
      <c r="I46" s="57">
        <f t="shared" ref="I46" si="193">J44</f>
        <v>257.39999999999998</v>
      </c>
      <c r="J46" s="56">
        <f t="shared" ref="J46" si="194">E47</f>
        <v>82.7</v>
      </c>
      <c r="K46" s="19">
        <f t="shared" ref="K46" si="195">ROUND(I46,1)+ROUND(J46,1)</f>
        <v>340.09999999999997</v>
      </c>
      <c r="L46" s="57">
        <f t="shared" ref="L46" si="196">E45/2-2649*(U44+V44+W44-U46-V46-W46)/(0.976*E45)</f>
        <v>223.55779930452064</v>
      </c>
      <c r="M46" s="56">
        <f t="shared" ref="M46" si="197">E47/2+2649*(U46+V46+W46-U48-V48-W48)/(0.976*E47)</f>
        <v>511.25383471762444</v>
      </c>
      <c r="N46" s="19">
        <f t="shared" ref="N46" si="198">L46+M46</f>
        <v>734.81163402214509</v>
      </c>
      <c r="O46" s="57">
        <f t="shared" ref="O46" si="199">E45/2-1794*(U44+V44+W44-U46-V46-W46)/(0.976*E45)</f>
        <v>192.94118231495281</v>
      </c>
      <c r="P46" s="56">
        <f t="shared" ref="P46" si="200">E47/2+1794*(U46+V46+W46-U48-V48-W48)/(0.976*E47)</f>
        <v>359.5861190952881</v>
      </c>
      <c r="Q46" s="19">
        <f t="shared" ref="Q46" si="201">O46+P46</f>
        <v>552.52730141024085</v>
      </c>
      <c r="R46" s="58" t="s">
        <v>107</v>
      </c>
      <c r="S46" s="41">
        <v>668913.147</v>
      </c>
      <c r="T46" s="41">
        <v>1079398.5419999999</v>
      </c>
      <c r="U46" s="13">
        <v>52.405000000000001</v>
      </c>
      <c r="V46" s="33">
        <v>3</v>
      </c>
      <c r="W46" s="49"/>
      <c r="X46" s="30"/>
      <c r="Y46" s="40"/>
      <c r="Z46" s="31"/>
      <c r="AA46" s="42" t="str">
        <f>IF(OR(L46&lt;-600,M46&lt;-600,N46&lt;-1000,L46&gt;600,M46&gt;600,N46&gt;1000,O46&lt;-600,P46&lt;-600,Q46&lt;-1000,O46&gt;600,P46&gt;600,Q46&gt;1000),"Check","Ok")</f>
        <v>Ok</v>
      </c>
      <c r="AB46" s="61"/>
      <c r="AC46" s="62"/>
    </row>
    <row r="47" spans="1:29" x14ac:dyDescent="0.15">
      <c r="A47" s="20"/>
      <c r="B47" s="26"/>
      <c r="C47" s="26"/>
      <c r="D47" s="29"/>
      <c r="E47" s="43">
        <f t="shared" si="149"/>
        <v>82.7</v>
      </c>
      <c r="F47" s="28"/>
      <c r="G47" s="15"/>
      <c r="H47" s="16"/>
      <c r="I47" s="17"/>
      <c r="J47" s="15"/>
      <c r="K47" s="16"/>
      <c r="L47" s="17"/>
      <c r="M47" s="15"/>
      <c r="N47" s="16"/>
      <c r="O47" s="17"/>
      <c r="P47" s="15"/>
      <c r="Q47" s="16"/>
      <c r="R47" s="27" t="s">
        <v>106</v>
      </c>
      <c r="S47" s="46"/>
      <c r="T47" s="46"/>
      <c r="U47" s="18"/>
      <c r="V47" s="9"/>
      <c r="W47" s="21"/>
      <c r="X47" s="30"/>
      <c r="Y47" s="40"/>
      <c r="Z47" s="26"/>
      <c r="AA47" s="21"/>
      <c r="AB47" s="59"/>
      <c r="AC47" s="60"/>
    </row>
    <row r="48" spans="1:29" x14ac:dyDescent="0.15">
      <c r="A48" s="12">
        <f t="shared" si="160"/>
        <v>20</v>
      </c>
      <c r="B48" s="31" t="s">
        <v>69</v>
      </c>
      <c r="C48" s="31" t="s">
        <v>70</v>
      </c>
      <c r="D48" s="32" t="s">
        <v>53</v>
      </c>
      <c r="E48" s="45"/>
      <c r="F48" s="55">
        <f>SUM(E47)</f>
        <v>82.7</v>
      </c>
      <c r="G48" s="56">
        <f t="shared" si="161"/>
        <v>4755.7999999999993</v>
      </c>
      <c r="H48" s="19">
        <f t="shared" ref="H48" si="202">(ROUND(E47,1)+ROUND(E49,1))/2</f>
        <v>138.1</v>
      </c>
      <c r="I48" s="57">
        <f t="shared" ref="I48" si="203">J46</f>
        <v>82.7</v>
      </c>
      <c r="J48" s="56">
        <f t="shared" ref="J48" si="204">E49</f>
        <v>193.5</v>
      </c>
      <c r="K48" s="19">
        <f t="shared" ref="K48" si="205">ROUND(I48,1)+ROUND(J48,1)</f>
        <v>276.2</v>
      </c>
      <c r="L48" s="57">
        <f t="shared" ref="L48" si="206">E47/2-2649*(U46+V46+W46-U48-V48-W48)/(0.976*E47)</f>
        <v>-428.5538347176244</v>
      </c>
      <c r="M48" s="56">
        <f t="shared" ref="M48" si="207">E49/2+2649*(U48+V48+W48-U50-V50-W50)/(0.976*E49)</f>
        <v>222.84877366882708</v>
      </c>
      <c r="N48" s="19">
        <f t="shared" ref="N48" si="208">L48+M48</f>
        <v>-205.70506104879732</v>
      </c>
      <c r="O48" s="57">
        <f t="shared" ref="O48" si="209">E47/2-1794*(U46+V46+W46-U48-V48-W48)/(0.976*E47)</f>
        <v>-276.88611909528805</v>
      </c>
      <c r="P48" s="56">
        <f t="shared" ref="P48" si="210">E49/2+1794*(U48+V48+W48-U50-V50-W50)/(0.976*E49)</f>
        <v>182.14871648239932</v>
      </c>
      <c r="Q48" s="19">
        <f t="shared" ref="Q48" si="211">O48+P48</f>
        <v>-94.737402612888729</v>
      </c>
      <c r="R48" s="58" t="s">
        <v>84</v>
      </c>
      <c r="S48" s="41">
        <v>668842.75699999998</v>
      </c>
      <c r="T48" s="41">
        <v>1079441.969</v>
      </c>
      <c r="U48" s="13">
        <v>41.087000000000003</v>
      </c>
      <c r="V48" s="33">
        <v>0</v>
      </c>
      <c r="W48" s="49"/>
      <c r="X48" s="30"/>
      <c r="Y48" s="40"/>
      <c r="Z48" s="31"/>
      <c r="AA48" s="42" t="str">
        <f>IF(OR(L48&lt;-600,M48&lt;-600,N48&lt;-1000,L48&gt;600,M48&gt;600,N48&gt;1000,O48&lt;-600,P48&lt;-600,Q48&lt;-1000,O48&gt;600,P48&gt;600,Q48&gt;1000),"Check","Ok")</f>
        <v>Ok</v>
      </c>
      <c r="AB48" s="61"/>
      <c r="AC48" s="62"/>
    </row>
    <row r="49" spans="1:29" x14ac:dyDescent="0.15">
      <c r="A49" s="20"/>
      <c r="B49" s="26"/>
      <c r="C49" s="26"/>
      <c r="D49" s="29"/>
      <c r="E49" s="43">
        <f t="shared" si="149"/>
        <v>193.5</v>
      </c>
      <c r="F49" s="28"/>
      <c r="G49" s="15"/>
      <c r="H49" s="16"/>
      <c r="I49" s="17"/>
      <c r="J49" s="15"/>
      <c r="K49" s="16"/>
      <c r="L49" s="17"/>
      <c r="M49" s="15"/>
      <c r="N49" s="16"/>
      <c r="O49" s="17"/>
      <c r="P49" s="15"/>
      <c r="Q49" s="16"/>
      <c r="R49" s="27"/>
      <c r="S49" s="46"/>
      <c r="T49" s="46"/>
      <c r="U49" s="18"/>
      <c r="V49" s="9"/>
      <c r="W49" s="21"/>
      <c r="X49" s="30"/>
      <c r="Y49" s="40"/>
      <c r="Z49" s="26"/>
      <c r="AA49" s="21"/>
      <c r="AB49" s="59"/>
      <c r="AC49" s="60"/>
    </row>
    <row r="50" spans="1:29" x14ac:dyDescent="0.2">
      <c r="A50" s="12">
        <f t="shared" si="160"/>
        <v>21</v>
      </c>
      <c r="B50" s="31" t="s">
        <v>48</v>
      </c>
      <c r="C50" s="31" t="s">
        <v>38</v>
      </c>
      <c r="D50" s="64" t="s">
        <v>83</v>
      </c>
      <c r="E50" s="65"/>
      <c r="F50" s="55">
        <f>SUM(E49)</f>
        <v>193.5</v>
      </c>
      <c r="G50" s="6">
        <f t="shared" si="161"/>
        <v>4949.2999999999993</v>
      </c>
      <c r="H50" s="7">
        <f>(ROUND(E49,1)+ROUND(0,1))/2</f>
        <v>96.75</v>
      </c>
      <c r="I50" s="8">
        <f t="shared" ref="I50" si="212">J48</f>
        <v>193.5</v>
      </c>
      <c r="J50" s="6">
        <v>0</v>
      </c>
      <c r="K50" s="7">
        <f t="shared" ref="K50" si="213">ROUND(I50,1)+ROUND(J50,1)</f>
        <v>193.5</v>
      </c>
      <c r="L50" s="8">
        <f t="shared" ref="L50" si="214">E49/2-2649*(U48+V48+W48-U50-V50-W50)/(0.976*E49)</f>
        <v>-29.348773668827079</v>
      </c>
      <c r="M50" s="6">
        <v>0</v>
      </c>
      <c r="N50" s="7">
        <f t="shared" ref="N50" si="215">L50+M50</f>
        <v>-29.348773668827079</v>
      </c>
      <c r="O50" s="8">
        <f t="shared" ref="O50" si="216">E49/2-1794*(U48+V48+W48-U50-V50-W50)/(0.976*E49)</f>
        <v>11.351283517600692</v>
      </c>
      <c r="P50" s="6">
        <v>0</v>
      </c>
      <c r="Q50" s="7">
        <f t="shared" ref="Q50" si="217">O50+P50</f>
        <v>11.351283517600692</v>
      </c>
      <c r="R50" s="66"/>
      <c r="S50" s="73">
        <v>668678.04200000002</v>
      </c>
      <c r="T50" s="73">
        <v>1079543.591</v>
      </c>
      <c r="U50" s="67">
        <v>32.097000000000001</v>
      </c>
      <c r="V50" s="33">
        <v>0</v>
      </c>
      <c r="W50" s="68"/>
      <c r="X50" s="69"/>
      <c r="Y50" s="70"/>
      <c r="Z50" s="63"/>
      <c r="AA50" s="76" t="str">
        <f>IF(OR(O50&lt;-600,P50&lt;-600,Q50&lt;-1000,O50&gt;600,P50&gt;600,Q50&gt;1000),"Check","Ok")</f>
        <v>Ok</v>
      </c>
      <c r="AB50" s="71"/>
      <c r="AC50" s="72"/>
    </row>
  </sheetData>
  <mergeCells count="24">
    <mergeCell ref="A1:Z1"/>
    <mergeCell ref="A2:Z2"/>
    <mergeCell ref="A3:Z3"/>
    <mergeCell ref="A4:Z4"/>
    <mergeCell ref="Z6:Z7"/>
    <mergeCell ref="A6:A7"/>
    <mergeCell ref="B6:B7"/>
    <mergeCell ref="C6:C7"/>
    <mergeCell ref="AB6:AB7"/>
    <mergeCell ref="AC6:AC7"/>
    <mergeCell ref="AA6:AA7"/>
    <mergeCell ref="D6:D7"/>
    <mergeCell ref="G6:G7"/>
    <mergeCell ref="R6:R7"/>
    <mergeCell ref="I6:K6"/>
    <mergeCell ref="H6:H7"/>
    <mergeCell ref="O6:Q6"/>
    <mergeCell ref="F6:F7"/>
    <mergeCell ref="V6:V7"/>
    <mergeCell ref="W6:W7"/>
    <mergeCell ref="S6:U6"/>
    <mergeCell ref="X6:Y6"/>
    <mergeCell ref="E6:E7"/>
    <mergeCell ref="L6:N6"/>
  </mergeCells>
  <phoneticPr fontId="0" type="noConversion"/>
  <printOptions horizontalCentered="1" gridLines="1"/>
  <pageMargins left="0.78740157480314998" right="0.55118110236220497" top="0.78740157480314998" bottom="0.82677165354330695" header="0.55118110236220497" footer="0.59055118110236204"/>
  <pageSetup paperSize="8" scale="95" orientation="landscape" verticalDpi="300" r:id="rId1"/>
  <headerFooter alignWithMargins="0">
    <oddFooter>&amp;LSurveyor:  For Solutions, Cochin&amp;CPage &amp;P of &amp;N   &amp;ROwner: Kerala State Electricity Board, Kalamuserry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3" sqref="A3"/>
    </sheetView>
  </sheetViews>
  <sheetFormatPr defaultRowHeight="12.75" x14ac:dyDescent="0.2"/>
  <cols>
    <col min="1" max="1" width="21.5703125" style="35" customWidth="1"/>
    <col min="2" max="2" width="27.7109375" style="35" customWidth="1"/>
    <col min="3" max="16384" width="9.140625" style="35"/>
  </cols>
  <sheetData>
    <row r="1" spans="1:6" x14ac:dyDescent="0.2">
      <c r="A1" s="110" t="s">
        <v>40</v>
      </c>
      <c r="B1" s="110"/>
      <c r="E1" s="110"/>
      <c r="F1" s="110"/>
    </row>
    <row r="2" spans="1:6" x14ac:dyDescent="0.2">
      <c r="A2" s="36" t="s">
        <v>20</v>
      </c>
      <c r="B2" s="35">
        <v>13.88</v>
      </c>
      <c r="C2" s="35">
        <f>7.63+6.25</f>
        <v>13.879999999999999</v>
      </c>
      <c r="E2" s="36"/>
    </row>
    <row r="3" spans="1:6" x14ac:dyDescent="0.2">
      <c r="A3" s="36" t="s">
        <v>21</v>
      </c>
      <c r="B3" s="35">
        <v>6.25</v>
      </c>
      <c r="E3" s="36"/>
    </row>
    <row r="4" spans="1:6" x14ac:dyDescent="0.2">
      <c r="A4" s="36" t="s">
        <v>22</v>
      </c>
      <c r="B4" s="35">
        <v>22</v>
      </c>
      <c r="E4" s="36"/>
    </row>
    <row r="5" spans="1:6" x14ac:dyDescent="0.2">
      <c r="A5" s="36" t="s">
        <v>23</v>
      </c>
      <c r="B5" s="35">
        <v>1794</v>
      </c>
      <c r="E5" s="36"/>
    </row>
    <row r="6" spans="1:6" x14ac:dyDescent="0.2">
      <c r="A6" s="36" t="s">
        <v>24</v>
      </c>
      <c r="B6" s="35">
        <v>2649</v>
      </c>
      <c r="E6" s="36"/>
    </row>
    <row r="7" spans="1:6" x14ac:dyDescent="0.2">
      <c r="A7" s="36" t="s">
        <v>33</v>
      </c>
      <c r="B7" s="35">
        <v>0.97599999999999998</v>
      </c>
      <c r="E7" s="36"/>
    </row>
    <row r="8" spans="1:6" x14ac:dyDescent="0.2">
      <c r="A8" s="36" t="s">
        <v>25</v>
      </c>
      <c r="B8" s="35">
        <v>20</v>
      </c>
      <c r="E8" s="36"/>
    </row>
    <row r="9" spans="1:6" x14ac:dyDescent="0.2">
      <c r="A9" s="36" t="s">
        <v>26</v>
      </c>
      <c r="B9" s="35">
        <v>2</v>
      </c>
      <c r="E9" s="36"/>
    </row>
    <row r="10" spans="1:6" x14ac:dyDescent="0.2">
      <c r="A10" s="36" t="s">
        <v>27</v>
      </c>
      <c r="B10" s="35">
        <v>1000</v>
      </c>
      <c r="E10" s="36"/>
    </row>
    <row r="11" spans="1:6" x14ac:dyDescent="0.2">
      <c r="A11" s="36" t="s">
        <v>28</v>
      </c>
      <c r="B11" s="35">
        <v>100</v>
      </c>
      <c r="E11" s="36"/>
    </row>
    <row r="12" spans="1:6" x14ac:dyDescent="0.2">
      <c r="A12" s="36" t="s">
        <v>29</v>
      </c>
      <c r="B12" s="35">
        <v>2000</v>
      </c>
      <c r="E12" s="36"/>
    </row>
    <row r="13" spans="1:6" x14ac:dyDescent="0.2">
      <c r="A13" s="36" t="s">
        <v>30</v>
      </c>
      <c r="B13" s="35">
        <v>220</v>
      </c>
      <c r="E13" s="36"/>
    </row>
    <row r="14" spans="1:6" x14ac:dyDescent="0.2">
      <c r="A14" s="36" t="s">
        <v>31</v>
      </c>
      <c r="B14" s="35">
        <v>185</v>
      </c>
      <c r="E14" s="36"/>
    </row>
    <row r="15" spans="1:6" x14ac:dyDescent="0.2">
      <c r="A15" s="36" t="s">
        <v>32</v>
      </c>
      <c r="B15" s="35">
        <v>1000</v>
      </c>
      <c r="E15" s="36"/>
    </row>
  </sheetData>
  <mergeCells count="2">
    <mergeCell ref="A1:B1"/>
    <mergeCell ref="E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TS</vt:lpstr>
      <vt:lpstr>TSD</vt:lpstr>
      <vt:lpstr>TS!Print_Area</vt:lpstr>
      <vt:lpstr>TS!Print_Titles</vt:lpstr>
    </vt:vector>
  </TitlesOfParts>
  <Company>intecinfocom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</dc:creator>
  <cp:lastModifiedBy>Narayana Perumal</cp:lastModifiedBy>
  <cp:lastPrinted>2017-12-19T05:11:26Z</cp:lastPrinted>
  <dcterms:created xsi:type="dcterms:W3CDTF">2006-10-04T09:23:58Z</dcterms:created>
  <dcterms:modified xsi:type="dcterms:W3CDTF">2018-01-08T11:15:56Z</dcterms:modified>
</cp:coreProperties>
</file>