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7635" yWindow="-15" windowWidth="7635" windowHeight="8160"/>
  </bookViews>
  <sheets>
    <sheet name="TS" sheetId="4" r:id="rId1"/>
    <sheet name="TSD" sheetId="9" r:id="rId2"/>
  </sheets>
  <definedNames>
    <definedName name="_xlnm._FilterDatabase" localSheetId="0" hidden="1">TS!$C$1:$C$36</definedName>
    <definedName name="_xlnm.Print_Area" localSheetId="0">TS!$A$1:$Y$36</definedName>
    <definedName name="_xlnm.Print_Titles" localSheetId="0">TS!$6:$7</definedName>
  </definedNames>
  <calcPr calcId="144525"/>
</workbook>
</file>

<file path=xl/calcChain.xml><?xml version="1.0" encoding="utf-8"?>
<calcChain xmlns="http://schemas.openxmlformats.org/spreadsheetml/2006/main">
  <c r="O10" i="4" l="1"/>
  <c r="O12" i="4"/>
  <c r="L10" i="4"/>
  <c r="L12" i="4"/>
  <c r="I10" i="4"/>
  <c r="K10" i="4" s="1"/>
  <c r="I12" i="4"/>
  <c r="J10" i="4"/>
  <c r="P8" i="4"/>
  <c r="P10" i="4"/>
  <c r="M8" i="4"/>
  <c r="M10" i="4"/>
  <c r="H10" i="4"/>
  <c r="G10" i="4"/>
  <c r="G12" i="4" s="1"/>
  <c r="F12" i="4"/>
  <c r="E11" i="4"/>
  <c r="E9" i="4"/>
  <c r="A12" i="4"/>
  <c r="N10" i="4" l="1"/>
  <c r="Q10" i="4"/>
  <c r="J36" i="4" l="1"/>
  <c r="C2" i="9" l="1"/>
  <c r="E13" i="4" l="1"/>
  <c r="F14" i="4" s="1"/>
  <c r="E15" i="4"/>
  <c r="F16" i="4" s="1"/>
  <c r="E17" i="4"/>
  <c r="F18" i="4" s="1"/>
  <c r="E19" i="4"/>
  <c r="E21" i="4"/>
  <c r="E23" i="4"/>
  <c r="F24" i="4" s="1"/>
  <c r="E25" i="4"/>
  <c r="F26" i="4" s="1"/>
  <c r="E27" i="4"/>
  <c r="E29" i="4"/>
  <c r="E31" i="4"/>
  <c r="E33" i="4"/>
  <c r="E35" i="4"/>
  <c r="F22" i="4" l="1"/>
  <c r="H8" i="4"/>
  <c r="F36" i="4"/>
  <c r="O36" i="4"/>
  <c r="L36" i="4"/>
  <c r="N36" i="4" s="1"/>
  <c r="H36" i="4"/>
  <c r="Q36" i="4" l="1"/>
  <c r="AA36" i="4" s="1"/>
  <c r="M30" i="4"/>
  <c r="L22" i="4" l="1"/>
  <c r="L20" i="4"/>
  <c r="M32" i="4"/>
  <c r="M28" i="4"/>
  <c r="H16" i="4"/>
  <c r="H14" i="4"/>
  <c r="J34" i="4"/>
  <c r="I36" i="4" s="1"/>
  <c r="K36" i="4" s="1"/>
  <c r="P34" i="4"/>
  <c r="M34" i="4"/>
  <c r="J8" i="4"/>
  <c r="J32" i="4"/>
  <c r="I34" i="4" s="1"/>
  <c r="P32" i="4"/>
  <c r="L34" i="4"/>
  <c r="H34" i="4"/>
  <c r="H26" i="4"/>
  <c r="M24" i="4"/>
  <c r="O26" i="4"/>
  <c r="P24" i="4"/>
  <c r="J24" i="4"/>
  <c r="I26" i="4" s="1"/>
  <c r="J16" i="4"/>
  <c r="I18" i="4" s="1"/>
  <c r="P16" i="4"/>
  <c r="L18" i="4"/>
  <c r="H18" i="4"/>
  <c r="M16" i="4"/>
  <c r="O18" i="4"/>
  <c r="M26" i="4"/>
  <c r="O28" i="4"/>
  <c r="P26" i="4"/>
  <c r="H28" i="4"/>
  <c r="J26" i="4"/>
  <c r="I28" i="4" s="1"/>
  <c r="L28" i="4"/>
  <c r="H32" i="4"/>
  <c r="O32" i="4"/>
  <c r="J30" i="4"/>
  <c r="I32" i="4" s="1"/>
  <c r="P30" i="4"/>
  <c r="L32" i="4"/>
  <c r="M22" i="4"/>
  <c r="H24" i="4"/>
  <c r="L24" i="4"/>
  <c r="O24" i="4"/>
  <c r="P22" i="4"/>
  <c r="J22" i="4"/>
  <c r="I24" i="4" s="1"/>
  <c r="J14" i="4"/>
  <c r="I16" i="4" s="1"/>
  <c r="L16" i="4"/>
  <c r="M14" i="4"/>
  <c r="O16" i="4"/>
  <c r="P14" i="4"/>
  <c r="H12" i="4"/>
  <c r="H20" i="4"/>
  <c r="M18" i="4"/>
  <c r="O20" i="4"/>
  <c r="P18" i="4"/>
  <c r="J28" i="4"/>
  <c r="I30" i="4" s="1"/>
  <c r="P28" i="4"/>
  <c r="O30" i="4"/>
  <c r="H30" i="4"/>
  <c r="L30" i="4"/>
  <c r="M20" i="4"/>
  <c r="H22" i="4"/>
  <c r="P20" i="4"/>
  <c r="O22" i="4"/>
  <c r="J20" i="4"/>
  <c r="I22" i="4" s="1"/>
  <c r="J12" i="4"/>
  <c r="I14" i="4" s="1"/>
  <c r="P12" i="4"/>
  <c r="O14" i="4"/>
  <c r="L14" i="4"/>
  <c r="M12" i="4"/>
  <c r="O34" i="4"/>
  <c r="L26" i="4"/>
  <c r="J18" i="4"/>
  <c r="I20" i="4" s="1"/>
  <c r="N20" i="4" l="1"/>
  <c r="N22" i="4"/>
  <c r="K22" i="4"/>
  <c r="Q32" i="4"/>
  <c r="N32" i="4"/>
  <c r="Q16" i="4"/>
  <c r="AA16" i="4" s="1"/>
  <c r="Q18" i="4"/>
  <c r="AA18" i="4" s="1"/>
  <c r="K34" i="4"/>
  <c r="K30" i="4"/>
  <c r="K16" i="4"/>
  <c r="K8" i="4"/>
  <c r="K24" i="4"/>
  <c r="K32" i="4"/>
  <c r="Q26" i="4"/>
  <c r="N14" i="4"/>
  <c r="N16" i="4"/>
  <c r="N26" i="4"/>
  <c r="N30" i="4"/>
  <c r="N28" i="4"/>
  <c r="N8" i="4"/>
  <c r="N34" i="4"/>
  <c r="N24" i="4"/>
  <c r="N18" i="4"/>
  <c r="Q14" i="4"/>
  <c r="AA14" i="4" s="1"/>
  <c r="Q20" i="4"/>
  <c r="K28" i="4"/>
  <c r="Q8" i="4"/>
  <c r="AA8" i="4" s="1"/>
  <c r="K20" i="4"/>
  <c r="Q22" i="4"/>
  <c r="AA22" i="4" s="1"/>
  <c r="K18" i="4"/>
  <c r="N12" i="4"/>
  <c r="Q34" i="4"/>
  <c r="AA34" i="4" s="1"/>
  <c r="Q28" i="4"/>
  <c r="AA28" i="4" s="1"/>
  <c r="K14" i="4"/>
  <c r="Q30" i="4"/>
  <c r="Q24" i="4"/>
  <c r="AA24" i="4" s="1"/>
  <c r="K26" i="4"/>
  <c r="K12" i="4"/>
  <c r="Q12" i="4"/>
  <c r="AA12" i="4" s="1"/>
  <c r="AA32" i="4" l="1"/>
  <c r="AA30" i="4"/>
  <c r="AA26" i="4"/>
  <c r="AA20" i="4"/>
  <c r="A14" i="4" l="1"/>
  <c r="A16" i="4" s="1"/>
  <c r="A18" i="4" s="1"/>
  <c r="A20" i="4" s="1"/>
  <c r="A22" i="4" s="1"/>
  <c r="A24" i="4" s="1"/>
  <c r="A26" i="4" s="1"/>
  <c r="A28" i="4" s="1"/>
  <c r="A30" i="4" s="1"/>
  <c r="A32" i="4" s="1"/>
  <c r="A34" i="4" s="1"/>
  <c r="A36" i="4" s="1"/>
  <c r="G14" i="4" l="1"/>
  <c r="G16" i="4" s="1"/>
  <c r="G18" i="4" s="1"/>
  <c r="G20" i="4" s="1"/>
  <c r="G22" i="4" s="1"/>
  <c r="G24" i="4" s="1"/>
  <c r="G26" i="4" s="1"/>
  <c r="G28" i="4" s="1"/>
  <c r="G30" i="4" s="1"/>
  <c r="G32" i="4" s="1"/>
  <c r="G34" i="4" s="1"/>
  <c r="G36" i="4" s="1"/>
</calcChain>
</file>

<file path=xl/sharedStrings.xml><?xml version="1.0" encoding="utf-8"?>
<sst xmlns="http://schemas.openxmlformats.org/spreadsheetml/2006/main" count="107" uniqueCount="96">
  <si>
    <t>Tower Type</t>
  </si>
  <si>
    <t>Adjacent Span</t>
  </si>
  <si>
    <t>Left</t>
  </si>
  <si>
    <t>Right</t>
  </si>
  <si>
    <t>Total</t>
  </si>
  <si>
    <t>Elevation</t>
  </si>
  <si>
    <t>Twr Extn</t>
  </si>
  <si>
    <t>Easting</t>
  </si>
  <si>
    <t>Northing</t>
  </si>
  <si>
    <t>Weight Span Check</t>
  </si>
  <si>
    <t>Weight Span (Cold)</t>
  </si>
  <si>
    <t>Weight Span (Hot)</t>
  </si>
  <si>
    <t>Deviation Angle (DMS)</t>
  </si>
  <si>
    <t>Span (m)</t>
  </si>
  <si>
    <t>Section Length (m)</t>
  </si>
  <si>
    <t>Wind Span (m)</t>
  </si>
  <si>
    <t>Longitude</t>
  </si>
  <si>
    <t>Latitude</t>
  </si>
  <si>
    <t>Cum.  Chainage (m)</t>
  </si>
  <si>
    <t>Spherical Coordinate</t>
  </si>
  <si>
    <t>Crossarm_Ht</t>
  </si>
  <si>
    <t>GC</t>
  </si>
  <si>
    <t>Row</t>
  </si>
  <si>
    <t>T_Hot</t>
  </si>
  <si>
    <t>T_Cold</t>
  </si>
  <si>
    <t>Hor_Grid</t>
  </si>
  <si>
    <t>Ver_Grid</t>
  </si>
  <si>
    <t>Hor_Scale</t>
  </si>
  <si>
    <t>Ver_Scale</t>
  </si>
  <si>
    <t>Plot_Scale</t>
  </si>
  <si>
    <t>Sheet_Gap</t>
  </si>
  <si>
    <t>PandP_Dist</t>
  </si>
  <si>
    <t>Grid_Ht</t>
  </si>
  <si>
    <t>Cond_Wt</t>
  </si>
  <si>
    <t>Sl No</t>
  </si>
  <si>
    <t>Chimney Ht</t>
  </si>
  <si>
    <t>NAME OF CLIENT :- KERALA STATE ELECTRICITY BOARD</t>
  </si>
  <si>
    <t>UTM Coordinate (Zone - 43P)</t>
  </si>
  <si>
    <t>KLD+00</t>
  </si>
  <si>
    <t>KLA+03</t>
  </si>
  <si>
    <t>KLA+06</t>
  </si>
  <si>
    <t>Loc No.</t>
  </si>
  <si>
    <t>Sag Tension details for 220kV M/C KM TL (Wind Zone-2)</t>
  </si>
  <si>
    <t>Major Crossings/Remarks</t>
  </si>
  <si>
    <t>KLD+06</t>
  </si>
  <si>
    <t>KLB+03</t>
  </si>
  <si>
    <t>Land Use</t>
  </si>
  <si>
    <t>Soil Clasification</t>
  </si>
  <si>
    <t>Existing Tower No.</t>
  </si>
  <si>
    <t>KLB+06</t>
  </si>
  <si>
    <t>KLC+06</t>
  </si>
  <si>
    <t>NAME OF AGENCY :- FOR SOLUTIONS</t>
  </si>
  <si>
    <t>72</t>
  </si>
  <si>
    <t>73</t>
  </si>
  <si>
    <t>74</t>
  </si>
  <si>
    <t>75</t>
  </si>
  <si>
    <t>76</t>
  </si>
  <si>
    <t>77</t>
  </si>
  <si>
    <t>78</t>
  </si>
  <si>
    <t>KLD+03</t>
  </si>
  <si>
    <t>00°03'00" RT</t>
  </si>
  <si>
    <t>00°01'21" LT</t>
  </si>
  <si>
    <t>06°46'37" RT</t>
  </si>
  <si>
    <t>00°29'29" LT</t>
  </si>
  <si>
    <t>00°02'19" RT</t>
  </si>
  <si>
    <t>27°37'02" RT</t>
  </si>
  <si>
    <t>57°50'27" RT</t>
  </si>
  <si>
    <t>18°18'43" LT</t>
  </si>
  <si>
    <t>PU58A</t>
  </si>
  <si>
    <t>PU57</t>
  </si>
  <si>
    <t>PU55</t>
  </si>
  <si>
    <t>PU54</t>
  </si>
  <si>
    <t>PU52</t>
  </si>
  <si>
    <t>PU50</t>
  </si>
  <si>
    <t>PU49</t>
  </si>
  <si>
    <t>Kayal</t>
  </si>
  <si>
    <t>Building 4nos, Road, LT Line</t>
  </si>
  <si>
    <t>Building 4nos, Well</t>
  </si>
  <si>
    <t>Road 2nos, LT Line 3nos, 11kV Line, Building 3nos, Pond</t>
  </si>
  <si>
    <t>Road, LT Line</t>
  </si>
  <si>
    <t>Building 4nos</t>
  </si>
  <si>
    <t>11kV Line, Road</t>
  </si>
  <si>
    <t>Road, 11kV Line, LT Line, Building</t>
  </si>
  <si>
    <t>Building, LT Line, Paddy Field</t>
  </si>
  <si>
    <t>Paddy Field</t>
  </si>
  <si>
    <t>Road 2nos, Building 18nos, Pond, Well, 11kV Line</t>
  </si>
  <si>
    <t>Building 7nos, 11kV Line, Road</t>
  </si>
  <si>
    <t>Building</t>
  </si>
  <si>
    <t>Tower PU56 to be removed</t>
  </si>
  <si>
    <t>Tower PU53 to be removed</t>
  </si>
  <si>
    <t>Tower PU51 to be removed</t>
  </si>
  <si>
    <t>DETAILED SURVEY TOWER SCHEDULE (LINE LENGTH: 4.393 Km)</t>
  </si>
  <si>
    <t>NAME OF PROJECT :- 220kV/110kV M/C MV KOTTAYAM - THURAVOOR TRANSMISSION LINE (PART-2)</t>
  </si>
  <si>
    <t>72A</t>
  </si>
  <si>
    <t>KLA+09</t>
  </si>
  <si>
    <t>KLB+09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</si>
</sst>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#,##0.0"/>
    <numFmt numFmtId="166" formatCode="_ * #,##0.000_ ;_ * \-#,##0.000_ ;_ * &quot;-&quot;??_ ;_ @_ "/>
    <numFmt numFmtId="167" formatCode="0.0"/>
    <numFmt numFmtId="168" formatCode="_ * #,##0.0_ ;_ * \-#,##0.0_ ;_ * &quot;-&quot;??_ ;_ @_ "/>
  </numFmts>
  <fonts count="7" x14ac:knownFonts="1">
    <font>
      <sz val="10"/>
      <name val="Arial"/>
    </font>
    <font>
      <sz val="10"/>
      <name val="Times New Roman"/>
      <family val="1"/>
    </font>
    <font>
      <b/>
      <sz val="8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sz val="12"/>
      <name val="Tahoma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4" fillId="0" borderId="0"/>
  </cellStyleXfs>
  <cellXfs count="97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/>
    <xf numFmtId="1" fontId="3" fillId="2" borderId="23" xfId="0" applyNumberFormat="1" applyFont="1" applyFill="1" applyBorder="1" applyAlignment="1">
      <alignment vertical="center" wrapText="1"/>
    </xf>
    <xf numFmtId="166" fontId="3" fillId="2" borderId="25" xfId="1" applyNumberFormat="1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vertical="center" wrapText="1"/>
    </xf>
    <xf numFmtId="165" fontId="3" fillId="0" borderId="24" xfId="0" applyNumberFormat="1" applyFont="1" applyFill="1" applyBorder="1" applyAlignment="1">
      <alignment vertical="center"/>
    </xf>
    <xf numFmtId="165" fontId="3" fillId="0" borderId="25" xfId="0" applyNumberFormat="1" applyFont="1" applyFill="1" applyBorder="1" applyAlignment="1">
      <alignment vertical="center"/>
    </xf>
    <xf numFmtId="165" fontId="3" fillId="0" borderId="23" xfId="0" applyNumberFormat="1" applyFont="1" applyFill="1" applyBorder="1" applyAlignment="1">
      <alignment vertical="center"/>
    </xf>
    <xf numFmtId="166" fontId="3" fillId="0" borderId="25" xfId="1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/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3" borderId="30" xfId="0" applyNumberFormat="1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6" xfId="0" applyNumberFormat="1" applyFont="1" applyFill="1" applyBorder="1" applyAlignment="1">
      <alignment horizontal="center" vertical="center" wrapText="1"/>
    </xf>
    <xf numFmtId="1" fontId="3" fillId="2" borderId="15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4" fillId="0" borderId="0" xfId="2"/>
    <xf numFmtId="0" fontId="4" fillId="0" borderId="0" xfId="2" applyFont="1"/>
    <xf numFmtId="168" fontId="3" fillId="0" borderId="1" xfId="1" applyNumberFormat="1" applyFont="1" applyFill="1" applyBorder="1" applyAlignment="1">
      <alignment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/>
    <xf numFmtId="0" fontId="3" fillId="2" borderId="9" xfId="0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/>
    <xf numFmtId="0" fontId="5" fillId="0" borderId="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/>
    <xf numFmtId="165" fontId="3" fillId="0" borderId="7" xfId="0" applyNumberFormat="1" applyFont="1" applyFill="1" applyBorder="1" applyAlignment="1"/>
    <xf numFmtId="2" fontId="2" fillId="0" borderId="15" xfId="0" applyNumberFormat="1" applyFont="1" applyFill="1" applyBorder="1" applyAlignment="1">
      <alignment horizontal="center" vertical="center" wrapText="1"/>
    </xf>
    <xf numFmtId="168" fontId="3" fillId="2" borderId="1" xfId="1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/>
    <xf numFmtId="165" fontId="3" fillId="2" borderId="7" xfId="0" applyNumberFormat="1" applyFont="1" applyFill="1" applyBorder="1" applyAlignment="1"/>
    <xf numFmtId="2" fontId="2" fillId="2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12" xfId="0" applyNumberFormat="1" applyFont="1" applyFill="1" applyBorder="1" applyAlignment="1">
      <alignment horizontal="center" vertical="center" wrapText="1"/>
    </xf>
    <xf numFmtId="1" fontId="2" fillId="3" borderId="18" xfId="0" applyNumberFormat="1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 wrapText="1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1" fontId="2" fillId="3" borderId="16" xfId="0" applyNumberFormat="1" applyFont="1" applyFill="1" applyBorder="1" applyAlignment="1">
      <alignment horizontal="center" vertical="center"/>
    </xf>
    <xf numFmtId="1" fontId="2" fillId="3" borderId="22" xfId="0" applyNumberFormat="1" applyFont="1" applyFill="1" applyBorder="1" applyAlignment="1">
      <alignment horizontal="center" vertical="center"/>
    </xf>
    <xf numFmtId="1" fontId="2" fillId="3" borderId="20" xfId="0" applyNumberFormat="1" applyFont="1" applyFill="1" applyBorder="1" applyAlignment="1">
      <alignment horizontal="center" vertical="center"/>
    </xf>
    <xf numFmtId="1" fontId="2" fillId="3" borderId="16" xfId="0" applyNumberFormat="1" applyFont="1" applyFill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36"/>
  <sheetViews>
    <sheetView tabSelected="1" zoomScaleNormal="100" zoomScaleSheetLayoutView="8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ColWidth="7.5703125" defaultRowHeight="12.75" x14ac:dyDescent="0.2"/>
  <cols>
    <col min="1" max="1" width="5.7109375" style="2" customWidth="1"/>
    <col min="2" max="2" width="7.85546875" style="3" bestFit="1" customWidth="1"/>
    <col min="3" max="3" width="7.85546875" style="2" customWidth="1"/>
    <col min="4" max="4" width="10.7109375" style="3" customWidth="1"/>
    <col min="5" max="5" width="7" style="2" customWidth="1"/>
    <col min="6" max="6" width="7.28515625" style="2" customWidth="1"/>
    <col min="7" max="7" width="8.7109375" style="4" customWidth="1"/>
    <col min="8" max="8" width="8.7109375" style="2" customWidth="1"/>
    <col min="9" max="10" width="6.7109375" style="4" bestFit="1" customWidth="1"/>
    <col min="11" max="11" width="6.28515625" style="2" customWidth="1"/>
    <col min="12" max="13" width="7.140625" style="4" bestFit="1" customWidth="1"/>
    <col min="14" max="14" width="5.5703125" style="2" customWidth="1"/>
    <col min="15" max="15" width="6.7109375" style="4" bestFit="1" customWidth="1"/>
    <col min="16" max="16" width="7.28515625" style="4" bestFit="1" customWidth="1"/>
    <col min="17" max="17" width="6" style="2" customWidth="1"/>
    <col min="18" max="18" width="30.7109375" style="5" customWidth="1"/>
    <col min="19" max="19" width="10.7109375" style="2" customWidth="1"/>
    <col min="20" max="20" width="12.28515625" style="2" customWidth="1"/>
    <col min="21" max="21" width="8.7109375" style="2" customWidth="1"/>
    <col min="22" max="22" width="5.7109375" style="1" customWidth="1"/>
    <col min="23" max="23" width="8" style="1" hidden="1" customWidth="1"/>
    <col min="24" max="25" width="11.7109375" style="1" hidden="1" customWidth="1"/>
    <col min="26" max="26" width="7.85546875" style="3" hidden="1" customWidth="1"/>
    <col min="27" max="27" width="8.7109375" style="1" hidden="1" customWidth="1"/>
    <col min="28" max="28" width="15.7109375" style="1" customWidth="1"/>
    <col min="29" max="29" width="20.7109375" style="1" customWidth="1"/>
    <col min="30" max="16384" width="7.5703125" style="1"/>
  </cols>
  <sheetData>
    <row r="1" spans="1:29" ht="15" x14ac:dyDescent="0.2">
      <c r="A1" s="64" t="s">
        <v>92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44"/>
    </row>
    <row r="2" spans="1:29" ht="15" x14ac:dyDescent="0.2">
      <c r="A2" s="64" t="s">
        <v>36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44"/>
    </row>
    <row r="3" spans="1:29" ht="15" x14ac:dyDescent="0.2">
      <c r="A3" s="64" t="s">
        <v>51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44"/>
    </row>
    <row r="4" spans="1:29" ht="15" x14ac:dyDescent="0.2">
      <c r="A4" s="64" t="s">
        <v>91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44"/>
    </row>
    <row r="5" spans="1:29" ht="15.75" thickBo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</row>
    <row r="6" spans="1:29" ht="19.5" customHeight="1" x14ac:dyDescent="0.2">
      <c r="A6" s="67" t="s">
        <v>34</v>
      </c>
      <c r="B6" s="65" t="s">
        <v>41</v>
      </c>
      <c r="C6" s="69" t="s">
        <v>0</v>
      </c>
      <c r="D6" s="77" t="s">
        <v>12</v>
      </c>
      <c r="E6" s="67" t="s">
        <v>13</v>
      </c>
      <c r="F6" s="69" t="s">
        <v>14</v>
      </c>
      <c r="G6" s="79" t="s">
        <v>18</v>
      </c>
      <c r="H6" s="86" t="s">
        <v>15</v>
      </c>
      <c r="I6" s="83" t="s">
        <v>1</v>
      </c>
      <c r="J6" s="84"/>
      <c r="K6" s="85"/>
      <c r="L6" s="88" t="s">
        <v>10</v>
      </c>
      <c r="M6" s="84"/>
      <c r="N6" s="85"/>
      <c r="O6" s="88" t="s">
        <v>11</v>
      </c>
      <c r="P6" s="84"/>
      <c r="Q6" s="85"/>
      <c r="R6" s="81" t="s">
        <v>43</v>
      </c>
      <c r="S6" s="91" t="s">
        <v>37</v>
      </c>
      <c r="T6" s="92"/>
      <c r="U6" s="93"/>
      <c r="V6" s="89" t="s">
        <v>6</v>
      </c>
      <c r="W6" s="89" t="s">
        <v>35</v>
      </c>
      <c r="X6" s="94" t="s">
        <v>19</v>
      </c>
      <c r="Y6" s="95"/>
      <c r="Z6" s="65" t="s">
        <v>48</v>
      </c>
      <c r="AA6" s="75" t="s">
        <v>9</v>
      </c>
      <c r="AB6" s="71" t="s">
        <v>46</v>
      </c>
      <c r="AC6" s="73" t="s">
        <v>47</v>
      </c>
    </row>
    <row r="7" spans="1:29" ht="19.5" customHeight="1" thickBot="1" x14ac:dyDescent="0.25">
      <c r="A7" s="68"/>
      <c r="B7" s="66"/>
      <c r="C7" s="70"/>
      <c r="D7" s="78"/>
      <c r="E7" s="68"/>
      <c r="F7" s="70"/>
      <c r="G7" s="80"/>
      <c r="H7" s="87"/>
      <c r="I7" s="19" t="s">
        <v>2</v>
      </c>
      <c r="J7" s="20" t="s">
        <v>3</v>
      </c>
      <c r="K7" s="21" t="s">
        <v>4</v>
      </c>
      <c r="L7" s="22" t="s">
        <v>2</v>
      </c>
      <c r="M7" s="20" t="s">
        <v>3</v>
      </c>
      <c r="N7" s="21" t="s">
        <v>4</v>
      </c>
      <c r="O7" s="22" t="s">
        <v>2</v>
      </c>
      <c r="P7" s="20" t="s">
        <v>3</v>
      </c>
      <c r="Q7" s="21" t="s">
        <v>4</v>
      </c>
      <c r="R7" s="82"/>
      <c r="S7" s="47" t="s">
        <v>7</v>
      </c>
      <c r="T7" s="48" t="s">
        <v>8</v>
      </c>
      <c r="U7" s="21" t="s">
        <v>5</v>
      </c>
      <c r="V7" s="90"/>
      <c r="W7" s="90"/>
      <c r="X7" s="35" t="s">
        <v>16</v>
      </c>
      <c r="Y7" s="36" t="s">
        <v>17</v>
      </c>
      <c r="Z7" s="66"/>
      <c r="AA7" s="76"/>
      <c r="AB7" s="72"/>
      <c r="AC7" s="74"/>
    </row>
    <row r="8" spans="1:29" x14ac:dyDescent="0.15">
      <c r="A8" s="9">
        <v>0</v>
      </c>
      <c r="B8" s="28" t="s">
        <v>52</v>
      </c>
      <c r="C8" s="28" t="s">
        <v>95</v>
      </c>
      <c r="D8" s="29" t="s">
        <v>60</v>
      </c>
      <c r="E8" s="42"/>
      <c r="F8" s="52">
        <v>0</v>
      </c>
      <c r="G8" s="53">
        <v>0</v>
      </c>
      <c r="H8" s="16">
        <f>(ROUND(298.7,1)+ROUND(E9,1))/2</f>
        <v>309.35000000000002</v>
      </c>
      <c r="I8" s="54">
        <v>298.7</v>
      </c>
      <c r="J8" s="53">
        <f t="shared" ref="J8" si="0">E9</f>
        <v>320</v>
      </c>
      <c r="K8" s="16">
        <f t="shared" ref="K8" si="1">ROUND(I8,1)+ROUND(J8,1)</f>
        <v>618.70000000000005</v>
      </c>
      <c r="L8" s="54">
        <v>238.8</v>
      </c>
      <c r="M8" s="53">
        <f t="shared" ref="M8:M12" si="2">E9/2+2649*(U8+V8+W8-U10-V10-W10)/(0.976*E9)</f>
        <v>159.75403112192623</v>
      </c>
      <c r="N8" s="16">
        <f t="shared" ref="N8" si="3">L8+M8</f>
        <v>398.55403112192624</v>
      </c>
      <c r="O8" s="54">
        <v>210</v>
      </c>
      <c r="P8" s="53">
        <f t="shared" ref="P8:P12" si="4">E9/2+1794*(U8+V8+W8-U10-V10-W10)/(0.976*E9)</f>
        <v>159.83342085040982</v>
      </c>
      <c r="Q8" s="16">
        <f t="shared" ref="Q8" si="5">O8+P8</f>
        <v>369.83342085040982</v>
      </c>
      <c r="R8" s="55"/>
      <c r="S8" s="38">
        <v>650665.60900000005</v>
      </c>
      <c r="T8" s="38">
        <v>1080588.581</v>
      </c>
      <c r="U8" s="10">
        <v>2.1509999999999998</v>
      </c>
      <c r="V8" s="30">
        <v>9</v>
      </c>
      <c r="W8" s="60"/>
      <c r="X8" s="61"/>
      <c r="Y8" s="62"/>
      <c r="Z8" s="28"/>
      <c r="AA8" s="39" t="str">
        <f>IF(OR(O8&lt;-600,P8&lt;-600,Q8&lt;-1000,O8&gt;600,P8&gt;600,Q8&gt;1000),"Check","Ok")</f>
        <v>Ok</v>
      </c>
      <c r="AB8" s="58"/>
      <c r="AC8" s="59"/>
    </row>
    <row r="9" spans="1:29" x14ac:dyDescent="0.15">
      <c r="A9" s="17"/>
      <c r="B9" s="23"/>
      <c r="C9" s="23"/>
      <c r="D9" s="26"/>
      <c r="E9" s="40">
        <f t="shared" ref="E9" si="6">ROUND(SQRT((S8-S10)^2+(T8-T10)^2),1)</f>
        <v>320</v>
      </c>
      <c r="F9" s="25"/>
      <c r="G9" s="12"/>
      <c r="H9" s="13"/>
      <c r="I9" s="14"/>
      <c r="J9" s="12"/>
      <c r="K9" s="13"/>
      <c r="L9" s="14"/>
      <c r="M9" s="12"/>
      <c r="N9" s="13"/>
      <c r="O9" s="14"/>
      <c r="P9" s="12"/>
      <c r="Q9" s="13"/>
      <c r="R9" s="24" t="s">
        <v>75</v>
      </c>
      <c r="S9" s="43"/>
      <c r="T9" s="43"/>
      <c r="U9" s="15"/>
      <c r="V9" s="6"/>
      <c r="W9" s="18"/>
      <c r="X9" s="27"/>
      <c r="Y9" s="37"/>
      <c r="Z9" s="23"/>
      <c r="AA9" s="18"/>
      <c r="AB9" s="56"/>
      <c r="AC9" s="57"/>
    </row>
    <row r="10" spans="1:29" x14ac:dyDescent="0.15">
      <c r="A10" s="11">
        <v>1</v>
      </c>
      <c r="B10" s="23" t="s">
        <v>93</v>
      </c>
      <c r="C10" s="23" t="s">
        <v>94</v>
      </c>
      <c r="D10" s="26"/>
      <c r="E10" s="40"/>
      <c r="F10" s="25"/>
      <c r="G10" s="49">
        <f t="shared" ref="G10:G36" si="7">G8+E9</f>
        <v>320</v>
      </c>
      <c r="H10" s="8">
        <f t="shared" ref="H10:H12" si="8">(ROUND(E7,1)+ROUND(E11,1))/2</f>
        <v>135.4</v>
      </c>
      <c r="I10" s="50">
        <f t="shared" ref="I10:I14" si="9">J8</f>
        <v>320</v>
      </c>
      <c r="J10" s="49">
        <f t="shared" ref="J10" si="10">E11</f>
        <v>270.8</v>
      </c>
      <c r="K10" s="8">
        <f t="shared" ref="K10" si="11">ROUND(I10,1)+ROUND(J10,1)</f>
        <v>590.79999999999995</v>
      </c>
      <c r="L10" s="50">
        <f t="shared" ref="L10:L14" si="12">E9/2-2649*(U8+V8+W8-U10-V10-W10)/(0.976*E9)</f>
        <v>160.24596887807377</v>
      </c>
      <c r="M10" s="49">
        <f t="shared" si="2"/>
        <v>134.54807295324116</v>
      </c>
      <c r="N10" s="8">
        <f t="shared" ref="N10:N12" si="13">L10+M10</f>
        <v>294.79404183131493</v>
      </c>
      <c r="O10" s="50">
        <f t="shared" ref="O10:O14" si="14">E9/2-1794*(U8+V8+W8-U10-V10-W10)/(0.976*E9)</f>
        <v>160.16657914959018</v>
      </c>
      <c r="P10" s="49">
        <f t="shared" si="4"/>
        <v>134.82304374409765</v>
      </c>
      <c r="Q10" s="8">
        <f t="shared" ref="Q10:Q12" si="15">O10+P10</f>
        <v>294.98962289368785</v>
      </c>
      <c r="R10" s="24"/>
      <c r="S10" s="43">
        <v>650347.91200000001</v>
      </c>
      <c r="T10" s="43">
        <v>1080550.28</v>
      </c>
      <c r="U10" s="15">
        <v>2.1800000000000002</v>
      </c>
      <c r="V10" s="6">
        <v>9</v>
      </c>
      <c r="W10" s="18"/>
      <c r="X10" s="27"/>
      <c r="Y10" s="37"/>
      <c r="Z10" s="23"/>
      <c r="AA10" s="18"/>
      <c r="AB10" s="56"/>
      <c r="AC10" s="57"/>
    </row>
    <row r="11" spans="1:29" x14ac:dyDescent="0.15">
      <c r="A11" s="63"/>
      <c r="B11" s="23"/>
      <c r="C11" s="23"/>
      <c r="D11" s="26"/>
      <c r="E11" s="40">
        <f t="shared" ref="E11:E35" si="16">ROUND(SQRT((S10-S12)^2+(T10-T12)^2),1)</f>
        <v>270.8</v>
      </c>
      <c r="F11" s="25"/>
      <c r="G11" s="12"/>
      <c r="H11" s="13"/>
      <c r="I11" s="14"/>
      <c r="J11" s="12"/>
      <c r="K11" s="13"/>
      <c r="L11" s="14"/>
      <c r="M11" s="12"/>
      <c r="N11" s="13"/>
      <c r="O11" s="14"/>
      <c r="P11" s="12"/>
      <c r="Q11" s="13"/>
      <c r="R11" s="24"/>
      <c r="S11" s="43"/>
      <c r="T11" s="43"/>
      <c r="U11" s="15"/>
      <c r="V11" s="6"/>
      <c r="W11" s="18"/>
      <c r="X11" s="27"/>
      <c r="Y11" s="37"/>
      <c r="Z11" s="23"/>
      <c r="AA11" s="18"/>
      <c r="AB11" s="56"/>
      <c r="AC11" s="57"/>
    </row>
    <row r="12" spans="1:29" x14ac:dyDescent="0.15">
      <c r="A12" s="9">
        <f t="shared" ref="A12:A36" si="17">A10+1</f>
        <v>2</v>
      </c>
      <c r="B12" s="28" t="s">
        <v>53</v>
      </c>
      <c r="C12" s="28" t="s">
        <v>95</v>
      </c>
      <c r="D12" s="29" t="s">
        <v>61</v>
      </c>
      <c r="E12" s="42"/>
      <c r="F12" s="52">
        <f>SUM(E9:E11)</f>
        <v>590.79999999999995</v>
      </c>
      <c r="G12" s="53">
        <f t="shared" si="7"/>
        <v>590.79999999999995</v>
      </c>
      <c r="H12" s="16">
        <f t="shared" si="8"/>
        <v>292.35000000000002</v>
      </c>
      <c r="I12" s="54">
        <f t="shared" si="9"/>
        <v>270.8</v>
      </c>
      <c r="J12" s="53">
        <f t="shared" ref="J12" si="18">E13</f>
        <v>264.7</v>
      </c>
      <c r="K12" s="16">
        <f t="shared" ref="K12" si="19">ROUND(I12,1)+ROUND(J12,1)</f>
        <v>535.5</v>
      </c>
      <c r="L12" s="54">
        <f t="shared" si="12"/>
        <v>136.25192704675885</v>
      </c>
      <c r="M12" s="53">
        <f t="shared" si="2"/>
        <v>216.82976598933527</v>
      </c>
      <c r="N12" s="16">
        <f t="shared" si="13"/>
        <v>353.08169303609412</v>
      </c>
      <c r="O12" s="54">
        <f t="shared" si="14"/>
        <v>135.97695625590237</v>
      </c>
      <c r="P12" s="53">
        <f t="shared" si="4"/>
        <v>189.56279735178086</v>
      </c>
      <c r="Q12" s="16">
        <f t="shared" si="15"/>
        <v>325.53975360768322</v>
      </c>
      <c r="R12" s="55"/>
      <c r="S12" s="38">
        <v>650079.10800000001</v>
      </c>
      <c r="T12" s="38">
        <v>1080517.8740000001</v>
      </c>
      <c r="U12" s="10">
        <v>2.2650000000000001</v>
      </c>
      <c r="V12" s="30">
        <v>9</v>
      </c>
      <c r="W12" s="60"/>
      <c r="X12" s="61"/>
      <c r="Y12" s="62"/>
      <c r="Z12" s="28"/>
      <c r="AA12" s="39" t="str">
        <f>IF(OR(O12&lt;-600,P12&lt;-600,Q12&lt;-1000,O12&gt;600,P12&gt;600,Q12&gt;1000),"Check","Ok")</f>
        <v>Ok</v>
      </c>
      <c r="AB12" s="58"/>
      <c r="AC12" s="59"/>
    </row>
    <row r="13" spans="1:29" x14ac:dyDescent="0.15">
      <c r="A13" s="17"/>
      <c r="B13" s="23"/>
      <c r="C13" s="23"/>
      <c r="D13" s="26"/>
      <c r="E13" s="40">
        <f t="shared" si="16"/>
        <v>264.7</v>
      </c>
      <c r="F13" s="25"/>
      <c r="G13" s="12"/>
      <c r="H13" s="13"/>
      <c r="I13" s="14"/>
      <c r="J13" s="12"/>
      <c r="K13" s="13"/>
      <c r="L13" s="14"/>
      <c r="M13" s="12"/>
      <c r="N13" s="13"/>
      <c r="O13" s="14"/>
      <c r="P13" s="12"/>
      <c r="Q13" s="13"/>
      <c r="R13" s="24" t="s">
        <v>76</v>
      </c>
      <c r="S13" s="43"/>
      <c r="T13" s="43"/>
      <c r="U13" s="15"/>
      <c r="V13" s="6"/>
      <c r="W13" s="18"/>
      <c r="X13" s="27"/>
      <c r="Y13" s="37"/>
      <c r="Z13" s="23"/>
      <c r="AA13" s="18"/>
      <c r="AB13" s="56"/>
      <c r="AC13" s="57"/>
    </row>
    <row r="14" spans="1:29" x14ac:dyDescent="0.15">
      <c r="A14" s="9">
        <f t="shared" si="17"/>
        <v>3</v>
      </c>
      <c r="B14" s="28" t="s">
        <v>54</v>
      </c>
      <c r="C14" s="28" t="s">
        <v>38</v>
      </c>
      <c r="D14" s="29" t="s">
        <v>62</v>
      </c>
      <c r="E14" s="42"/>
      <c r="F14" s="52">
        <f>SUM(E13)</f>
        <v>264.7</v>
      </c>
      <c r="G14" s="53">
        <f t="shared" si="7"/>
        <v>855.5</v>
      </c>
      <c r="H14" s="16">
        <f t="shared" ref="H14" si="20">(ROUND(E13,1)+ROUND(E15,1))/2</f>
        <v>281.5</v>
      </c>
      <c r="I14" s="54">
        <f t="shared" si="9"/>
        <v>264.7</v>
      </c>
      <c r="J14" s="53">
        <f t="shared" ref="J14" si="21">E15</f>
        <v>298.3</v>
      </c>
      <c r="K14" s="16">
        <f t="shared" ref="K14" si="22">ROUND(I14,1)+ROUND(J14,1)</f>
        <v>563</v>
      </c>
      <c r="L14" s="54">
        <f t="shared" si="12"/>
        <v>47.870234010664703</v>
      </c>
      <c r="M14" s="53">
        <f t="shared" ref="M14" si="23">E15/2+2649*(U14+V14+W14-U16-V16-W16)/(0.976*E15)</f>
        <v>93.011080274561323</v>
      </c>
      <c r="N14" s="16">
        <f t="shared" ref="N14" si="24">L14+M14</f>
        <v>140.88131428522604</v>
      </c>
      <c r="O14" s="54">
        <f t="shared" si="14"/>
        <v>75.13720264821913</v>
      </c>
      <c r="P14" s="53">
        <f t="shared" ref="P14" si="25">E15/2+1794*(U14+V14+W14-U16-V16-W16)/(0.976*E15)</f>
        <v>111.13066365140168</v>
      </c>
      <c r="Q14" s="16">
        <f t="shared" ref="Q14" si="26">O14+P14</f>
        <v>186.26786629962081</v>
      </c>
      <c r="R14" s="31"/>
      <c r="S14" s="38">
        <v>649816.31599999999</v>
      </c>
      <c r="T14" s="38">
        <v>1080486.088</v>
      </c>
      <c r="U14" s="10">
        <v>3.0259999999999998</v>
      </c>
      <c r="V14" s="30">
        <v>0</v>
      </c>
      <c r="W14" s="60"/>
      <c r="X14" s="61"/>
      <c r="Y14" s="62"/>
      <c r="Z14" s="28"/>
      <c r="AA14" s="39" t="str">
        <f>IF(OR(O14&lt;-600,P14&lt;-600,Q14&lt;-1000,O14&gt;600,P14&gt;600,Q14&gt;1000),"Check","Ok")</f>
        <v>Ok</v>
      </c>
      <c r="AB14" s="58"/>
      <c r="AC14" s="59"/>
    </row>
    <row r="15" spans="1:29" x14ac:dyDescent="0.15">
      <c r="A15" s="17"/>
      <c r="B15" s="23"/>
      <c r="C15" s="23"/>
      <c r="D15" s="26"/>
      <c r="E15" s="40">
        <f t="shared" si="16"/>
        <v>298.3</v>
      </c>
      <c r="F15" s="25"/>
      <c r="G15" s="12"/>
      <c r="H15" s="13"/>
      <c r="I15" s="14"/>
      <c r="J15" s="12"/>
      <c r="K15" s="13"/>
      <c r="L15" s="14"/>
      <c r="M15" s="12"/>
      <c r="N15" s="13"/>
      <c r="O15" s="14"/>
      <c r="P15" s="12"/>
      <c r="Q15" s="13"/>
      <c r="R15" s="24" t="s">
        <v>77</v>
      </c>
      <c r="S15" s="43"/>
      <c r="T15" s="43"/>
      <c r="U15" s="15"/>
      <c r="V15" s="6"/>
      <c r="W15" s="18"/>
      <c r="X15" s="27"/>
      <c r="Y15" s="37"/>
      <c r="Z15" s="23"/>
      <c r="AA15" s="18"/>
      <c r="AB15" s="56"/>
      <c r="AC15" s="57"/>
    </row>
    <row r="16" spans="1:29" x14ac:dyDescent="0.15">
      <c r="A16" s="9">
        <f t="shared" si="17"/>
        <v>4</v>
      </c>
      <c r="B16" s="28" t="s">
        <v>55</v>
      </c>
      <c r="C16" s="28" t="s">
        <v>40</v>
      </c>
      <c r="D16" s="29" t="s">
        <v>63</v>
      </c>
      <c r="E16" s="42"/>
      <c r="F16" s="52">
        <f>SUM(E15)</f>
        <v>298.3</v>
      </c>
      <c r="G16" s="53">
        <f t="shared" si="7"/>
        <v>1153.8</v>
      </c>
      <c r="H16" s="16">
        <f t="shared" ref="H16" si="27">(ROUND(E15,1)+ROUND(E17,1))/2</f>
        <v>311.8</v>
      </c>
      <c r="I16" s="54">
        <f t="shared" ref="I16" si="28">J14</f>
        <v>298.3</v>
      </c>
      <c r="J16" s="53">
        <f t="shared" ref="J16" si="29">E17</f>
        <v>325.3</v>
      </c>
      <c r="K16" s="16">
        <f t="shared" ref="K16" si="30">ROUND(I16,1)+ROUND(J16,1)</f>
        <v>623.6</v>
      </c>
      <c r="L16" s="54">
        <f t="shared" ref="L16" si="31">E15/2-2649*(U14+V14+W14-U16-V16-W16)/(0.976*E15)</f>
        <v>205.28891972543869</v>
      </c>
      <c r="M16" s="53">
        <f t="shared" ref="M16" si="32">E17/2+2649*(U16+V16+W16-U18-V18-W18)/(0.976*E17)</f>
        <v>162.34963413343547</v>
      </c>
      <c r="N16" s="16">
        <f t="shared" ref="N16" si="33">L16+M16</f>
        <v>367.63855385887416</v>
      </c>
      <c r="O16" s="54">
        <f t="shared" ref="O16" si="34">E15/2-1794*(U14+V14+W14-U16-V16-W16)/(0.976*E15)</f>
        <v>187.16933634859834</v>
      </c>
      <c r="P16" s="53">
        <f t="shared" ref="P16" si="35">E17/2+1794*(U16+V16+W16-U18-V18-W18)/(0.976*E17)</f>
        <v>162.44658121381022</v>
      </c>
      <c r="Q16" s="16">
        <f t="shared" ref="Q16" si="36">O16+P16</f>
        <v>349.61591756240853</v>
      </c>
      <c r="R16" s="31"/>
      <c r="S16" s="38">
        <v>649518.04200000002</v>
      </c>
      <c r="T16" s="38">
        <v>1080485.4639999999</v>
      </c>
      <c r="U16" s="10">
        <v>3.1960000000000002</v>
      </c>
      <c r="V16" s="30">
        <v>6</v>
      </c>
      <c r="W16" s="60"/>
      <c r="X16" s="61"/>
      <c r="Y16" s="62"/>
      <c r="Z16" s="28"/>
      <c r="AA16" s="39" t="str">
        <f>IF(OR(O16&lt;100,P16&lt;100,Q16&lt;200,O16&gt;319,P16&gt;319,Q16&gt;525),"Check","Ok")</f>
        <v>Ok</v>
      </c>
      <c r="AB16" s="58"/>
      <c r="AC16" s="59"/>
    </row>
    <row r="17" spans="1:29" ht="21" x14ac:dyDescent="0.15">
      <c r="A17" s="17"/>
      <c r="B17" s="23"/>
      <c r="C17" s="23"/>
      <c r="D17" s="26"/>
      <c r="E17" s="40">
        <f t="shared" si="16"/>
        <v>325.3</v>
      </c>
      <c r="F17" s="25"/>
      <c r="G17" s="12"/>
      <c r="H17" s="13"/>
      <c r="I17" s="14"/>
      <c r="J17" s="12"/>
      <c r="K17" s="13"/>
      <c r="L17" s="14"/>
      <c r="M17" s="12"/>
      <c r="N17" s="13"/>
      <c r="O17" s="14"/>
      <c r="P17" s="12"/>
      <c r="Q17" s="13"/>
      <c r="R17" s="24" t="s">
        <v>78</v>
      </c>
      <c r="S17" s="43"/>
      <c r="T17" s="43"/>
      <c r="U17" s="15"/>
      <c r="V17" s="6"/>
      <c r="W17" s="18"/>
      <c r="X17" s="27"/>
      <c r="Y17" s="37"/>
      <c r="Z17" s="23"/>
      <c r="AA17" s="18"/>
      <c r="AB17" s="56"/>
      <c r="AC17" s="57"/>
    </row>
    <row r="18" spans="1:29" x14ac:dyDescent="0.15">
      <c r="A18" s="9">
        <f t="shared" si="17"/>
        <v>5</v>
      </c>
      <c r="B18" s="28" t="s">
        <v>56</v>
      </c>
      <c r="C18" s="28" t="s">
        <v>39</v>
      </c>
      <c r="D18" s="29" t="s">
        <v>64</v>
      </c>
      <c r="E18" s="42"/>
      <c r="F18" s="52">
        <f>SUM(E17)</f>
        <v>325.3</v>
      </c>
      <c r="G18" s="53">
        <f t="shared" si="7"/>
        <v>1479.1</v>
      </c>
      <c r="H18" s="16">
        <f t="shared" ref="H18" si="37">(ROUND(E17,1)+ROUND(E19,1))/2</f>
        <v>350.5</v>
      </c>
      <c r="I18" s="54">
        <f t="shared" ref="I18" si="38">J16</f>
        <v>325.3</v>
      </c>
      <c r="J18" s="53">
        <f t="shared" ref="J18" si="39">E19</f>
        <v>375.7</v>
      </c>
      <c r="K18" s="16">
        <f t="shared" ref="K18" si="40">ROUND(I18,1)+ROUND(J18,1)</f>
        <v>701</v>
      </c>
      <c r="L18" s="54">
        <f t="shared" ref="L18" si="41">E17/2-2649*(U16+V16+W16-U18-V18-W18)/(0.976*E17)</f>
        <v>162.95036586656454</v>
      </c>
      <c r="M18" s="53">
        <f t="shared" ref="M18" si="42">E19/2+2649*(U18+V18+W18-U20-V20-W20)/(0.976*E19)</f>
        <v>187.71273982554968</v>
      </c>
      <c r="N18" s="16">
        <f t="shared" ref="N18" si="43">L18+M18</f>
        <v>350.66310569211419</v>
      </c>
      <c r="O18" s="54">
        <f t="shared" ref="O18" si="44">E17/2-1794*(U16+V16+W16-U18-V18-W18)/(0.976*E17)</f>
        <v>162.85341878618979</v>
      </c>
      <c r="P18" s="53">
        <f t="shared" ref="P18" si="45">E19/2+1794*(U18+V18+W18-U20-V20-W20)/(0.976*E19)</f>
        <v>187.75704237336205</v>
      </c>
      <c r="Q18" s="16">
        <f t="shared" ref="Q18" si="46">O18+P18</f>
        <v>350.61046115955185</v>
      </c>
      <c r="R18" s="31"/>
      <c r="S18" s="38">
        <v>649192.76800000004</v>
      </c>
      <c r="T18" s="38">
        <v>1080481.9950000001</v>
      </c>
      <c r="U18" s="10">
        <v>6.2320000000000002</v>
      </c>
      <c r="V18" s="30">
        <v>3</v>
      </c>
      <c r="W18" s="60"/>
      <c r="X18" s="61"/>
      <c r="Y18" s="62"/>
      <c r="Z18" s="28"/>
      <c r="AA18" s="39" t="str">
        <f>IF(OR(O18&lt;100,P18&lt;100,Q18&lt;200,O18&gt;319,P18&gt;319,Q18&gt;525),"Check","Ok")</f>
        <v>Ok</v>
      </c>
      <c r="AB18" s="58"/>
      <c r="AC18" s="59"/>
    </row>
    <row r="19" spans="1:29" x14ac:dyDescent="0.15">
      <c r="A19" s="17"/>
      <c r="B19" s="23"/>
      <c r="C19" s="23"/>
      <c r="D19" s="26"/>
      <c r="E19" s="40">
        <f t="shared" si="16"/>
        <v>375.7</v>
      </c>
      <c r="F19" s="25"/>
      <c r="G19" s="12"/>
      <c r="H19" s="13"/>
      <c r="I19" s="14"/>
      <c r="J19" s="12"/>
      <c r="K19" s="13"/>
      <c r="L19" s="14"/>
      <c r="M19" s="12"/>
      <c r="N19" s="13"/>
      <c r="O19" s="14"/>
      <c r="P19" s="12"/>
      <c r="Q19" s="13"/>
      <c r="R19" s="24" t="s">
        <v>79</v>
      </c>
      <c r="S19" s="43"/>
      <c r="T19" s="43"/>
      <c r="U19" s="15"/>
      <c r="V19" s="6"/>
      <c r="W19" s="18"/>
      <c r="X19" s="27"/>
      <c r="Y19" s="37"/>
      <c r="Z19" s="23"/>
      <c r="AA19" s="18"/>
      <c r="AB19" s="56"/>
      <c r="AC19" s="57"/>
    </row>
    <row r="20" spans="1:29" x14ac:dyDescent="0.15">
      <c r="A20" s="11">
        <f t="shared" si="17"/>
        <v>6</v>
      </c>
      <c r="B20" s="23" t="s">
        <v>57</v>
      </c>
      <c r="C20" s="23" t="s">
        <v>45</v>
      </c>
      <c r="D20" s="26"/>
      <c r="E20" s="41"/>
      <c r="F20" s="34"/>
      <c r="G20" s="49">
        <f t="shared" si="7"/>
        <v>1854.8</v>
      </c>
      <c r="H20" s="8">
        <f t="shared" ref="H20" si="47">(ROUND(E19,1)+ROUND(E21,1))/2</f>
        <v>389.79999999999995</v>
      </c>
      <c r="I20" s="50">
        <f t="shared" ref="I20" si="48">J18</f>
        <v>375.7</v>
      </c>
      <c r="J20" s="49">
        <f t="shared" ref="J20" si="49">E21</f>
        <v>403.9</v>
      </c>
      <c r="K20" s="8">
        <f t="shared" ref="K20" si="50">ROUND(I20,1)+ROUND(J20,1)</f>
        <v>779.59999999999991</v>
      </c>
      <c r="L20" s="50">
        <f t="shared" ref="L20" si="51">E19/2-2649*(U18+V18+W18-U20-V20-W20)/(0.976*E19)</f>
        <v>187.98726017445031</v>
      </c>
      <c r="M20" s="49">
        <f t="shared" ref="M20" si="52">E21/2+2649*(U20+V20+W20-U22-V22-W22)/(0.976*E21)</f>
        <v>217.45264785148083</v>
      </c>
      <c r="N20" s="8">
        <f t="shared" ref="N20" si="53">L20+M20</f>
        <v>405.43990802593112</v>
      </c>
      <c r="O20" s="50">
        <f t="shared" ref="O20" si="54">E19/2-1794*(U18+V18+W18-U20-V20-W20)/(0.976*E19)</f>
        <v>187.94295762663793</v>
      </c>
      <c r="P20" s="49">
        <f t="shared" ref="P20" si="55">E21/2+1794*(U20+V20+W20-U22-V22-W22)/(0.976*E21)</f>
        <v>212.44896196510254</v>
      </c>
      <c r="Q20" s="8">
        <f t="shared" ref="Q20" si="56">O20+P20</f>
        <v>400.39191959174047</v>
      </c>
      <c r="R20" s="24"/>
      <c r="S20" s="43">
        <v>648817.10900000005</v>
      </c>
      <c r="T20" s="43">
        <v>1080478.2409999999</v>
      </c>
      <c r="U20" s="15">
        <v>6.2510000000000003</v>
      </c>
      <c r="V20" s="6">
        <v>3</v>
      </c>
      <c r="W20" s="46"/>
      <c r="X20" s="27"/>
      <c r="Y20" s="37"/>
      <c r="Z20" s="23"/>
      <c r="AA20" s="7" t="str">
        <f>IF(OR(L20&lt;-600,M20&lt;-600,N20&lt;-1000,L20&gt;600,M20&gt;600,N20&gt;1000,O20&lt;-600,P20&lt;-600,Q20&lt;-1000,O20&gt;600,P20&gt;600,Q20&gt;1000),"Check","Ok")</f>
        <v>Ok</v>
      </c>
      <c r="AB20" s="56"/>
      <c r="AC20" s="57"/>
    </row>
    <row r="21" spans="1:29" x14ac:dyDescent="0.15">
      <c r="A21" s="17"/>
      <c r="B21" s="23"/>
      <c r="C21" s="23"/>
      <c r="D21" s="26"/>
      <c r="E21" s="40">
        <f t="shared" si="16"/>
        <v>403.9</v>
      </c>
      <c r="F21" s="25"/>
      <c r="G21" s="12"/>
      <c r="H21" s="13"/>
      <c r="I21" s="14"/>
      <c r="J21" s="12"/>
      <c r="K21" s="13"/>
      <c r="L21" s="14"/>
      <c r="M21" s="12"/>
      <c r="N21" s="13"/>
      <c r="O21" s="14"/>
      <c r="P21" s="12"/>
      <c r="Q21" s="13"/>
      <c r="R21" s="24" t="s">
        <v>80</v>
      </c>
      <c r="S21" s="43"/>
      <c r="T21" s="43"/>
      <c r="U21" s="15"/>
      <c r="V21" s="6"/>
      <c r="W21" s="18"/>
      <c r="X21" s="27"/>
      <c r="Y21" s="37"/>
      <c r="Z21" s="23"/>
      <c r="AA21" s="18"/>
      <c r="AB21" s="56"/>
      <c r="AC21" s="57"/>
    </row>
    <row r="22" spans="1:29" x14ac:dyDescent="0.15">
      <c r="A22" s="9">
        <f t="shared" si="17"/>
        <v>7</v>
      </c>
      <c r="B22" s="28" t="s">
        <v>58</v>
      </c>
      <c r="C22" s="28" t="s">
        <v>38</v>
      </c>
      <c r="D22" s="29" t="s">
        <v>65</v>
      </c>
      <c r="E22" s="42"/>
      <c r="F22" s="52">
        <f>SUM(E19:E21)</f>
        <v>779.59999999999991</v>
      </c>
      <c r="G22" s="53">
        <f t="shared" si="7"/>
        <v>2258.6999999999998</v>
      </c>
      <c r="H22" s="16">
        <f t="shared" ref="H22" si="57">(ROUND(E21,1)+ROUND(E23,1))/2</f>
        <v>293.60000000000002</v>
      </c>
      <c r="I22" s="54">
        <f t="shared" ref="I22" si="58">J20</f>
        <v>403.9</v>
      </c>
      <c r="J22" s="53">
        <f t="shared" ref="J22" si="59">E23</f>
        <v>183.3</v>
      </c>
      <c r="K22" s="16">
        <f t="shared" ref="K22" si="60">ROUND(I22,1)+ROUND(J22,1)</f>
        <v>587.20000000000005</v>
      </c>
      <c r="L22" s="54">
        <f t="shared" ref="L22" si="61">E21/2-2649*(U20+V20+W20-U22-V22-W22)/(0.976*E21)</f>
        <v>186.44735214851914</v>
      </c>
      <c r="M22" s="53">
        <f t="shared" ref="M22" si="62">E23/2+2649*(U22+V22+W22-U24-V24-W24)/(0.976*E23)</f>
        <v>113.47564862761934</v>
      </c>
      <c r="N22" s="16">
        <f t="shared" ref="N22" si="63">L22+M22</f>
        <v>299.92300077613845</v>
      </c>
      <c r="O22" s="54">
        <f t="shared" ref="O22" si="64">E21/2-1794*(U20+V20+W20-U22-V22-W22)/(0.976*E21)</f>
        <v>191.45103803489744</v>
      </c>
      <c r="P22" s="53">
        <f t="shared" ref="P22" si="65">E23/2+1794*(U22+V22+W22-U24-V24-W24)/(0.976*E23)</f>
        <v>106.43113010115104</v>
      </c>
      <c r="Q22" s="16">
        <f t="shared" ref="Q22" si="66">O22+P22</f>
        <v>297.88216813604845</v>
      </c>
      <c r="R22" s="31"/>
      <c r="S22" s="38">
        <v>648413.20400000003</v>
      </c>
      <c r="T22" s="38">
        <v>1080474.2050000001</v>
      </c>
      <c r="U22" s="10">
        <v>6.944</v>
      </c>
      <c r="V22" s="30">
        <v>0</v>
      </c>
      <c r="W22" s="60"/>
      <c r="X22" s="61"/>
      <c r="Y22" s="62"/>
      <c r="Z22" s="28"/>
      <c r="AA22" s="39" t="str">
        <f>IF(OR(O22&lt;-600,P22&lt;-600,Q22&lt;-1000,O22&gt;600,P22&gt;600,Q22&gt;1000),"Check","Ok")</f>
        <v>Ok</v>
      </c>
      <c r="AB22" s="58"/>
      <c r="AC22" s="59"/>
    </row>
    <row r="23" spans="1:29" x14ac:dyDescent="0.15">
      <c r="A23" s="17"/>
      <c r="B23" s="23"/>
      <c r="C23" s="23"/>
      <c r="D23" s="26"/>
      <c r="E23" s="40">
        <f t="shared" si="16"/>
        <v>183.3</v>
      </c>
      <c r="F23" s="25"/>
      <c r="G23" s="12"/>
      <c r="H23" s="13"/>
      <c r="I23" s="14"/>
      <c r="J23" s="12"/>
      <c r="K23" s="13"/>
      <c r="L23" s="14"/>
      <c r="M23" s="12"/>
      <c r="N23" s="13"/>
      <c r="O23" s="14"/>
      <c r="P23" s="12"/>
      <c r="Q23" s="13"/>
      <c r="R23" s="24" t="s">
        <v>81</v>
      </c>
      <c r="S23" s="43"/>
      <c r="T23" s="43"/>
      <c r="U23" s="15"/>
      <c r="V23" s="6"/>
      <c r="W23" s="18"/>
      <c r="X23" s="27"/>
      <c r="Y23" s="37"/>
      <c r="Z23" s="23"/>
      <c r="AA23" s="18"/>
      <c r="AB23" s="56"/>
      <c r="AC23" s="57"/>
    </row>
    <row r="24" spans="1:29" x14ac:dyDescent="0.15">
      <c r="A24" s="9">
        <f t="shared" si="17"/>
        <v>8</v>
      </c>
      <c r="B24" s="28" t="s">
        <v>68</v>
      </c>
      <c r="C24" s="28" t="s">
        <v>59</v>
      </c>
      <c r="D24" s="29" t="s">
        <v>66</v>
      </c>
      <c r="E24" s="42"/>
      <c r="F24" s="52">
        <f>SUM(E23)</f>
        <v>183.3</v>
      </c>
      <c r="G24" s="53">
        <f t="shared" si="7"/>
        <v>2442</v>
      </c>
      <c r="H24" s="16">
        <f t="shared" ref="H24" si="67">(ROUND(E23,1)+ROUND(E25,1))/2</f>
        <v>219.45</v>
      </c>
      <c r="I24" s="54">
        <f t="shared" ref="I24" si="68">J22</f>
        <v>183.3</v>
      </c>
      <c r="J24" s="53">
        <f t="shared" ref="J24" si="69">E25</f>
        <v>255.6</v>
      </c>
      <c r="K24" s="16">
        <f t="shared" ref="K24" si="70">ROUND(I24,1)+ROUND(J24,1)</f>
        <v>438.9</v>
      </c>
      <c r="L24" s="54">
        <f t="shared" ref="L24" si="71">E23/2-2649*(U22+V22+W22-U24-V24-W24)/(0.976*E23)</f>
        <v>69.824351372380676</v>
      </c>
      <c r="M24" s="53">
        <f t="shared" ref="M24" si="72">E25/2+2649*(U24+V24+W24-U26-V26-W26)/(0.976*E25)</f>
        <v>91.101777880397137</v>
      </c>
      <c r="N24" s="16">
        <f t="shared" ref="N24" si="73">L24+M24</f>
        <v>160.9261292527778</v>
      </c>
      <c r="O24" s="54">
        <f t="shared" ref="O24" si="74">E23/2-1794*(U22+V22+W22-U24-V24-W24)/(0.976*E23)</f>
        <v>76.86886989884897</v>
      </c>
      <c r="P24" s="53">
        <f t="shared" ref="P24" si="75">E25/2+1794*(U24+V24+W24-U26-V26-W26)/(0.976*E25)</f>
        <v>102.94661740937428</v>
      </c>
      <c r="Q24" s="16">
        <f t="shared" ref="Q24" si="76">O24+P24</f>
        <v>179.81548730822325</v>
      </c>
      <c r="R24" s="31"/>
      <c r="S24" s="38">
        <v>648249.973</v>
      </c>
      <c r="T24" s="38">
        <v>1080557.5360000001</v>
      </c>
      <c r="U24" s="10">
        <v>2.4700000000000002</v>
      </c>
      <c r="V24" s="30">
        <v>3</v>
      </c>
      <c r="W24" s="60"/>
      <c r="X24" s="61"/>
      <c r="Y24" s="62"/>
      <c r="Z24" s="28"/>
      <c r="AA24" s="39" t="str">
        <f>IF(OR(O24&lt;-600,P24&lt;-600,Q24&lt;-1000,O24&gt;600,P24&gt;600,Q24&gt;1000),"Check","Ok")</f>
        <v>Ok</v>
      </c>
      <c r="AB24" s="58"/>
      <c r="AC24" s="59"/>
    </row>
    <row r="25" spans="1:29" x14ac:dyDescent="0.15">
      <c r="A25" s="17"/>
      <c r="B25" s="23"/>
      <c r="C25" s="23"/>
      <c r="D25" s="26"/>
      <c r="E25" s="40">
        <f t="shared" si="16"/>
        <v>255.6</v>
      </c>
      <c r="F25" s="25"/>
      <c r="G25" s="12"/>
      <c r="H25" s="13"/>
      <c r="I25" s="14"/>
      <c r="J25" s="12"/>
      <c r="K25" s="13"/>
      <c r="L25" s="14"/>
      <c r="M25" s="12"/>
      <c r="N25" s="13"/>
      <c r="O25" s="14"/>
      <c r="P25" s="12"/>
      <c r="Q25" s="13"/>
      <c r="R25" s="24" t="s">
        <v>82</v>
      </c>
      <c r="S25" s="43"/>
      <c r="T25" s="43"/>
      <c r="U25" s="15"/>
      <c r="V25" s="6"/>
      <c r="W25" s="18"/>
      <c r="X25" s="27"/>
      <c r="Y25" s="37"/>
      <c r="Z25" s="23"/>
      <c r="AA25" s="18"/>
      <c r="AB25" s="56"/>
      <c r="AC25" s="57"/>
    </row>
    <row r="26" spans="1:29" x14ac:dyDescent="0.15">
      <c r="A26" s="9">
        <f t="shared" si="17"/>
        <v>9</v>
      </c>
      <c r="B26" s="28" t="s">
        <v>69</v>
      </c>
      <c r="C26" s="28" t="s">
        <v>50</v>
      </c>
      <c r="D26" s="29" t="s">
        <v>67</v>
      </c>
      <c r="E26" s="42"/>
      <c r="F26" s="52">
        <f>SUM(E25)</f>
        <v>255.6</v>
      </c>
      <c r="G26" s="53">
        <f t="shared" si="7"/>
        <v>2697.6</v>
      </c>
      <c r="H26" s="16">
        <f t="shared" ref="H26" si="77">(ROUND(E25,1)+ROUND(E27,1))/2</f>
        <v>309.39999999999998</v>
      </c>
      <c r="I26" s="54">
        <f t="shared" ref="I26" si="78">J24</f>
        <v>255.6</v>
      </c>
      <c r="J26" s="53">
        <f t="shared" ref="J26" si="79">E27</f>
        <v>363.2</v>
      </c>
      <c r="K26" s="16">
        <f t="shared" ref="K26" si="80">ROUND(I26,1)+ROUND(J26,1)</f>
        <v>618.79999999999995</v>
      </c>
      <c r="L26" s="54">
        <f t="shared" ref="L26" si="81">E25/2-2649*(U24+V24+W24-U26-V26-W26)/(0.976*E25)</f>
        <v>164.49822211960287</v>
      </c>
      <c r="M26" s="53">
        <f t="shared" ref="M26" si="82">E27/2+2649*(U26+V26+W26-U28-V28-W28)/(0.976*E27)</f>
        <v>188.82624654708601</v>
      </c>
      <c r="N26" s="16">
        <f t="shared" ref="N26" si="83">L26+M26</f>
        <v>353.32446866668886</v>
      </c>
      <c r="O26" s="54">
        <f t="shared" ref="O26" si="84">E25/2-1794*(U24+V24+W24-U26-V26-W26)/(0.976*E25)</f>
        <v>152.65338259062571</v>
      </c>
      <c r="P26" s="53">
        <f t="shared" ref="P26" si="85">E27/2+1794*(U26+V26+W26-U28-V28-W28)/(0.976*E27)</f>
        <v>186.49387931501408</v>
      </c>
      <c r="Q26" s="16">
        <f t="shared" ref="Q26" si="86">O26+P26</f>
        <v>339.14726190563977</v>
      </c>
      <c r="R26" s="31"/>
      <c r="S26" s="38">
        <v>648227.18900000001</v>
      </c>
      <c r="T26" s="38">
        <v>1080812.0959999999</v>
      </c>
      <c r="U26" s="10">
        <v>2.9260000000000002</v>
      </c>
      <c r="V26" s="30">
        <v>6</v>
      </c>
      <c r="W26" s="60"/>
      <c r="X26" s="61"/>
      <c r="Y26" s="62"/>
      <c r="Z26" s="28"/>
      <c r="AA26" s="39" t="str">
        <f>IF(OR(L26&lt;-600,M26&lt;-600,N26&lt;-1000,L26&gt;600,M26&gt;600,N26&gt;1000,O26&lt;-600,P26&lt;-600,Q26&lt;-1000,O26&gt;600,P26&gt;600,Q26&gt;1000),"Check","Ok")</f>
        <v>Ok</v>
      </c>
      <c r="AB26" s="58"/>
      <c r="AC26" s="59"/>
    </row>
    <row r="27" spans="1:29" x14ac:dyDescent="0.15">
      <c r="A27" s="17"/>
      <c r="B27" s="23"/>
      <c r="C27" s="23"/>
      <c r="D27" s="26"/>
      <c r="E27" s="40">
        <f t="shared" si="16"/>
        <v>363.2</v>
      </c>
      <c r="F27" s="25"/>
      <c r="G27" s="12"/>
      <c r="H27" s="13"/>
      <c r="I27" s="14"/>
      <c r="J27" s="12"/>
      <c r="K27" s="13"/>
      <c r="L27" s="14"/>
      <c r="M27" s="12"/>
      <c r="N27" s="13"/>
      <c r="O27" s="14"/>
      <c r="P27" s="12"/>
      <c r="Q27" s="13"/>
      <c r="R27" s="24" t="s">
        <v>83</v>
      </c>
      <c r="S27" s="43"/>
      <c r="T27" s="43"/>
      <c r="U27" s="15"/>
      <c r="V27" s="6"/>
      <c r="W27" s="18"/>
      <c r="X27" s="27"/>
      <c r="Y27" s="37"/>
      <c r="Z27" s="23"/>
      <c r="AA27" s="18"/>
      <c r="AB27" s="56"/>
      <c r="AC27" s="57"/>
    </row>
    <row r="28" spans="1:29" x14ac:dyDescent="0.15">
      <c r="A28" s="11">
        <f t="shared" si="17"/>
        <v>10</v>
      </c>
      <c r="B28" s="23" t="s">
        <v>70</v>
      </c>
      <c r="C28" s="23" t="s">
        <v>40</v>
      </c>
      <c r="D28" s="26"/>
      <c r="E28" s="41"/>
      <c r="F28" s="34"/>
      <c r="G28" s="49">
        <f t="shared" si="7"/>
        <v>3060.7999999999997</v>
      </c>
      <c r="H28" s="8">
        <f t="shared" ref="H28" si="87">(ROUND(E27,1)+ROUND(E29,1))/2</f>
        <v>290.75</v>
      </c>
      <c r="I28" s="50">
        <f t="shared" ref="I28" si="88">J26</f>
        <v>363.2</v>
      </c>
      <c r="J28" s="49">
        <f t="shared" ref="J28" si="89">E29</f>
        <v>218.3</v>
      </c>
      <c r="K28" s="8">
        <f t="shared" ref="K28" si="90">ROUND(I28,1)+ROUND(J28,1)</f>
        <v>581.5</v>
      </c>
      <c r="L28" s="50">
        <f t="shared" ref="L28" si="91">E27/2-2649*(U26+V26+W26-U28-V28-W28)/(0.976*E27)</f>
        <v>174.37375345291397</v>
      </c>
      <c r="M28" s="49">
        <f t="shared" ref="M28" si="92">E29/2+2649*(U28+V28+W28-U30-V30-W30)/(0.976*E29)</f>
        <v>104.48759846954485</v>
      </c>
      <c r="N28" s="8">
        <f t="shared" ref="N28" si="93">L28+M28</f>
        <v>278.86135192245882</v>
      </c>
      <c r="O28" s="50">
        <f t="shared" ref="O28" si="94">E27/2-1794*(U26+V26+W26-U28-V28-W28)/(0.976*E27)</f>
        <v>176.7061206849859</v>
      </c>
      <c r="P28" s="49">
        <f t="shared" ref="P28" si="95">E29/2+1794*(U28+V28+W28-U30-V30-W30)/(0.976*E29)</f>
        <v>105.99245060564873</v>
      </c>
      <c r="Q28" s="8">
        <f t="shared" ref="Q28" si="96">O28+P28</f>
        <v>282.69857129063462</v>
      </c>
      <c r="R28" s="51" t="s">
        <v>88</v>
      </c>
      <c r="S28" s="43">
        <v>648082.79700000002</v>
      </c>
      <c r="T28" s="43">
        <v>1081145.345</v>
      </c>
      <c r="U28" s="15">
        <v>1.9590000000000001</v>
      </c>
      <c r="V28" s="6">
        <v>6</v>
      </c>
      <c r="W28" s="46"/>
      <c r="X28" s="27"/>
      <c r="Y28" s="37"/>
      <c r="Z28" s="23"/>
      <c r="AA28" s="7" t="str">
        <f>IF(OR(O28&lt;100,P28&lt;100,Q28&lt;200,O28&gt;319,P28&gt;319,Q28&gt;525),"Check","Ok")</f>
        <v>Ok</v>
      </c>
      <c r="AB28" s="56"/>
      <c r="AC28" s="57"/>
    </row>
    <row r="29" spans="1:29" x14ac:dyDescent="0.15">
      <c r="A29" s="17"/>
      <c r="B29" s="23"/>
      <c r="C29" s="23"/>
      <c r="D29" s="26"/>
      <c r="E29" s="40">
        <f t="shared" si="16"/>
        <v>218.3</v>
      </c>
      <c r="F29" s="25"/>
      <c r="G29" s="12"/>
      <c r="H29" s="13"/>
      <c r="I29" s="14"/>
      <c r="J29" s="12"/>
      <c r="K29" s="13"/>
      <c r="L29" s="14"/>
      <c r="M29" s="12"/>
      <c r="N29" s="13"/>
      <c r="O29" s="14"/>
      <c r="P29" s="12"/>
      <c r="Q29" s="13"/>
      <c r="R29" s="24" t="s">
        <v>84</v>
      </c>
      <c r="S29" s="43"/>
      <c r="T29" s="43"/>
      <c r="U29" s="15"/>
      <c r="V29" s="6"/>
      <c r="W29" s="18"/>
      <c r="X29" s="27"/>
      <c r="Y29" s="37"/>
      <c r="Z29" s="23"/>
      <c r="AA29" s="18"/>
      <c r="AB29" s="56"/>
      <c r="AC29" s="57"/>
    </row>
    <row r="30" spans="1:29" x14ac:dyDescent="0.15">
      <c r="A30" s="11">
        <f t="shared" si="17"/>
        <v>11</v>
      </c>
      <c r="B30" s="23" t="s">
        <v>71</v>
      </c>
      <c r="C30" s="23" t="s">
        <v>49</v>
      </c>
      <c r="D30" s="26"/>
      <c r="E30" s="41"/>
      <c r="F30" s="34"/>
      <c r="G30" s="49">
        <f t="shared" si="7"/>
        <v>3279.1</v>
      </c>
      <c r="H30" s="8">
        <f t="shared" ref="H30" si="97">(ROUND(E29,1)+ROUND(E31,1))/2</f>
        <v>347.4</v>
      </c>
      <c r="I30" s="50">
        <f t="shared" ref="I30" si="98">J28</f>
        <v>218.3</v>
      </c>
      <c r="J30" s="49">
        <f t="shared" ref="J30" si="99">E31</f>
        <v>476.5</v>
      </c>
      <c r="K30" s="8">
        <f t="shared" ref="K30" si="100">ROUND(I30,1)+ROUND(J30,1)</f>
        <v>694.8</v>
      </c>
      <c r="L30" s="50">
        <f t="shared" ref="L30" si="101">E29/2-2649*(U28+V28+W28-U30-V30-W30)/(0.976*E29)</f>
        <v>113.81240153045516</v>
      </c>
      <c r="M30" s="49">
        <f t="shared" ref="M30" si="102">E31/2+2649*(U30+V30+W30-U32-V32-W32)/(0.976*E31)</f>
        <v>229.36425524228923</v>
      </c>
      <c r="N30" s="8">
        <f t="shared" ref="N30" si="103">L30+M30</f>
        <v>343.17665677274442</v>
      </c>
      <c r="O30" s="50">
        <f t="shared" ref="O30" si="104">E29/2-1794*(U28+V28+W28-U30-V30-W30)/(0.976*E29)</f>
        <v>112.30754939435128</v>
      </c>
      <c r="P30" s="49">
        <f t="shared" ref="P30" si="105">E31/2+1794*(U30+V30+W30-U32-V32-W32)/(0.976*E31)</f>
        <v>232.23224760463077</v>
      </c>
      <c r="Q30" s="8">
        <f t="shared" ref="Q30" si="106">O30+P30</f>
        <v>344.53979699898207</v>
      </c>
      <c r="R30" s="51" t="s">
        <v>89</v>
      </c>
      <c r="S30" s="43">
        <v>647995.98699999996</v>
      </c>
      <c r="T30" s="43">
        <v>1081345.696</v>
      </c>
      <c r="U30" s="15">
        <v>2.3340000000000001</v>
      </c>
      <c r="V30" s="6">
        <v>6</v>
      </c>
      <c r="W30" s="46"/>
      <c r="X30" s="27"/>
      <c r="Y30" s="37"/>
      <c r="Z30" s="23"/>
      <c r="AA30" s="7" t="str">
        <f>IF(OR(L30&lt;-600,M30&lt;-600,N30&lt;-1000,L30&gt;600,M30&gt;600,N30&gt;1000,O30&lt;-600,P30&lt;-600,Q30&lt;-1000,O30&gt;600,P30&gt;600,Q30&gt;1000),"Check","Ok")</f>
        <v>Ok</v>
      </c>
      <c r="AB30" s="56"/>
      <c r="AC30" s="57"/>
    </row>
    <row r="31" spans="1:29" ht="21" x14ac:dyDescent="0.15">
      <c r="A31" s="17"/>
      <c r="B31" s="23"/>
      <c r="C31" s="23"/>
      <c r="D31" s="26"/>
      <c r="E31" s="40">
        <f t="shared" si="16"/>
        <v>476.5</v>
      </c>
      <c r="F31" s="25"/>
      <c r="G31" s="12"/>
      <c r="H31" s="13"/>
      <c r="I31" s="14"/>
      <c r="J31" s="12"/>
      <c r="K31" s="13"/>
      <c r="L31" s="14"/>
      <c r="M31" s="12"/>
      <c r="N31" s="13"/>
      <c r="O31" s="14"/>
      <c r="P31" s="12"/>
      <c r="Q31" s="13"/>
      <c r="R31" s="24" t="s">
        <v>85</v>
      </c>
      <c r="S31" s="43"/>
      <c r="T31" s="43"/>
      <c r="U31" s="15"/>
      <c r="V31" s="6"/>
      <c r="W31" s="18"/>
      <c r="X31" s="27"/>
      <c r="Y31" s="37"/>
      <c r="Z31" s="23"/>
      <c r="AA31" s="18"/>
      <c r="AB31" s="56"/>
      <c r="AC31" s="57"/>
    </row>
    <row r="32" spans="1:29" x14ac:dyDescent="0.15">
      <c r="A32" s="11">
        <f t="shared" si="17"/>
        <v>12</v>
      </c>
      <c r="B32" s="23" t="s">
        <v>72</v>
      </c>
      <c r="C32" s="23" t="s">
        <v>49</v>
      </c>
      <c r="D32" s="26"/>
      <c r="E32" s="41"/>
      <c r="F32" s="34"/>
      <c r="G32" s="49">
        <f t="shared" si="7"/>
        <v>3755.6</v>
      </c>
      <c r="H32" s="8">
        <f t="shared" ref="H32" si="107">(ROUND(E31,1)+ROUND(E33,1))/2</f>
        <v>442.65</v>
      </c>
      <c r="I32" s="50">
        <f t="shared" ref="I32" si="108">J30</f>
        <v>476.5</v>
      </c>
      <c r="J32" s="49">
        <f t="shared" ref="J32" si="109">E33</f>
        <v>408.8</v>
      </c>
      <c r="K32" s="8">
        <f t="shared" ref="K32" si="110">ROUND(I32,1)+ROUND(J32,1)</f>
        <v>885.3</v>
      </c>
      <c r="L32" s="50">
        <f t="shared" ref="L32" si="111">E31/2-2649*(U30+V30+W30-U32-V32-W32)/(0.976*E31)</f>
        <v>247.13574475771077</v>
      </c>
      <c r="M32" s="49">
        <f t="shared" ref="M32" si="112">E33/2+2649*(U32+V32+W32-U34-V34-W34)/(0.976*E33)</f>
        <v>231.11647925956819</v>
      </c>
      <c r="N32" s="8">
        <f t="shared" ref="N32" si="113">L32+M32</f>
        <v>478.25222401727899</v>
      </c>
      <c r="O32" s="50">
        <f t="shared" ref="O32" si="114">E31/2-1794*(U30+V30+W30-U32-V32-W32)/(0.976*E31)</f>
        <v>244.26775239536923</v>
      </c>
      <c r="P32" s="49">
        <f t="shared" ref="P32" si="115">E33/2+1794*(U32+V32+W32-U34-V34-W34)/(0.976*E33)</f>
        <v>222.49338006480383</v>
      </c>
      <c r="Q32" s="8">
        <f t="shared" ref="Q32" si="116">O32+P32</f>
        <v>466.76113246017303</v>
      </c>
      <c r="R32" s="51" t="s">
        <v>90</v>
      </c>
      <c r="S32" s="43">
        <v>647806.54500000004</v>
      </c>
      <c r="T32" s="43">
        <v>1081782.919</v>
      </c>
      <c r="U32" s="15">
        <v>3.8940000000000001</v>
      </c>
      <c r="V32" s="6">
        <v>6</v>
      </c>
      <c r="W32" s="46"/>
      <c r="X32" s="27"/>
      <c r="Y32" s="37"/>
      <c r="Z32" s="23"/>
      <c r="AA32" s="7" t="str">
        <f>IF(OR(L32&lt;-600,M32&lt;-600,N32&lt;-1000,L32&gt;600,M32&gt;600,N32&gt;1000,O32&lt;-600,P32&lt;-600,Q32&lt;-1000,O32&gt;600,P32&gt;600,Q32&gt;1000),"Check","Ok")</f>
        <v>Ok</v>
      </c>
      <c r="AB32" s="56"/>
      <c r="AC32" s="57"/>
    </row>
    <row r="33" spans="1:29" x14ac:dyDescent="0.15">
      <c r="A33" s="17"/>
      <c r="B33" s="23"/>
      <c r="C33" s="23"/>
      <c r="D33" s="26"/>
      <c r="E33" s="40">
        <f t="shared" si="16"/>
        <v>408.8</v>
      </c>
      <c r="F33" s="25"/>
      <c r="G33" s="12"/>
      <c r="H33" s="13"/>
      <c r="I33" s="14"/>
      <c r="J33" s="12"/>
      <c r="K33" s="13"/>
      <c r="L33" s="14"/>
      <c r="M33" s="12"/>
      <c r="N33" s="13"/>
      <c r="O33" s="14"/>
      <c r="P33" s="12"/>
      <c r="Q33" s="13"/>
      <c r="R33" s="24" t="s">
        <v>86</v>
      </c>
      <c r="S33" s="43"/>
      <c r="T33" s="43"/>
      <c r="U33" s="15"/>
      <c r="V33" s="6"/>
      <c r="W33" s="18"/>
      <c r="X33" s="27"/>
      <c r="Y33" s="37"/>
      <c r="Z33" s="23"/>
      <c r="AA33" s="18"/>
      <c r="AB33" s="56"/>
      <c r="AC33" s="57"/>
    </row>
    <row r="34" spans="1:29" x14ac:dyDescent="0.15">
      <c r="A34" s="11">
        <f t="shared" si="17"/>
        <v>13</v>
      </c>
      <c r="B34" s="23" t="s">
        <v>73</v>
      </c>
      <c r="C34" s="23" t="s">
        <v>44</v>
      </c>
      <c r="D34" s="26"/>
      <c r="E34" s="41"/>
      <c r="F34" s="34"/>
      <c r="G34" s="49">
        <f t="shared" si="7"/>
        <v>4164.3999999999996</v>
      </c>
      <c r="H34" s="8">
        <f t="shared" ref="H34" si="117">(ROUND(E33,1)+ROUND(E35,1))/2</f>
        <v>318.8</v>
      </c>
      <c r="I34" s="50">
        <f t="shared" ref="I34" si="118">J32</f>
        <v>408.8</v>
      </c>
      <c r="J34" s="49">
        <f t="shared" ref="J34" si="119">E35</f>
        <v>228.8</v>
      </c>
      <c r="K34" s="8">
        <f t="shared" ref="K34" si="120">ROUND(I34,1)+ROUND(J34,1)</f>
        <v>637.6</v>
      </c>
      <c r="L34" s="50">
        <f t="shared" ref="L34" si="121">E33/2-2649*(U32+V32+W32-U34-V34-W34)/(0.976*E33)</f>
        <v>177.68352074043182</v>
      </c>
      <c r="M34" s="49">
        <f t="shared" ref="M34" si="122">E35/2+2649*(U34+V34+W34-U36-V36-W36)/(0.976*E35)</f>
        <v>200.47427920440214</v>
      </c>
      <c r="N34" s="8">
        <f t="shared" ref="N34" si="123">L34+M34</f>
        <v>378.15779994483398</v>
      </c>
      <c r="O34" s="50">
        <f t="shared" ref="O34" si="124">E33/2-1794*(U32+V32+W32-U34-V34-W34)/(0.976*E33)</f>
        <v>186.30661993519618</v>
      </c>
      <c r="P34" s="49">
        <f t="shared" ref="P34" si="125">E35/2+1794*(U34+V34+W34-U36-V36-W36)/(0.976*E35)</f>
        <v>172.69266020864382</v>
      </c>
      <c r="Q34" s="8">
        <f t="shared" ref="Q34" si="126">O34+P34</f>
        <v>358.99928014384</v>
      </c>
      <c r="R34" s="51"/>
      <c r="S34" s="43">
        <v>647644.02500000002</v>
      </c>
      <c r="T34" s="43">
        <v>1082158.004</v>
      </c>
      <c r="U34" s="15">
        <v>-0.13</v>
      </c>
      <c r="V34" s="6">
        <v>6</v>
      </c>
      <c r="W34" s="46"/>
      <c r="X34" s="27"/>
      <c r="Y34" s="37"/>
      <c r="Z34" s="23"/>
      <c r="AA34" s="7" t="str">
        <f>IF(OR(O34&lt;-600,P34&lt;-600,Q34&lt;-1000,O34&gt;600,P34&gt;600,Q34&gt;1000),"Check","Ok")</f>
        <v>Ok</v>
      </c>
      <c r="AB34" s="56"/>
      <c r="AC34" s="57"/>
    </row>
    <row r="35" spans="1:29" x14ac:dyDescent="0.15">
      <c r="A35" s="17"/>
      <c r="B35" s="23"/>
      <c r="C35" s="23"/>
      <c r="D35" s="26"/>
      <c r="E35" s="40">
        <f t="shared" si="16"/>
        <v>228.8</v>
      </c>
      <c r="F35" s="25"/>
      <c r="G35" s="12"/>
      <c r="H35" s="13"/>
      <c r="I35" s="14"/>
      <c r="J35" s="12"/>
      <c r="K35" s="13"/>
      <c r="L35" s="14"/>
      <c r="M35" s="12"/>
      <c r="N35" s="13"/>
      <c r="O35" s="14"/>
      <c r="P35" s="12"/>
      <c r="Q35" s="13"/>
      <c r="R35" s="24" t="s">
        <v>87</v>
      </c>
      <c r="S35" s="43"/>
      <c r="T35" s="43"/>
      <c r="U35" s="15"/>
      <c r="V35" s="6"/>
      <c r="W35" s="18"/>
      <c r="X35" s="27"/>
      <c r="Y35" s="37"/>
      <c r="Z35" s="23"/>
      <c r="AA35" s="18"/>
      <c r="AB35" s="56"/>
      <c r="AC35" s="57"/>
    </row>
    <row r="36" spans="1:29" x14ac:dyDescent="0.15">
      <c r="A36" s="9">
        <f t="shared" si="17"/>
        <v>14</v>
      </c>
      <c r="B36" s="28" t="s">
        <v>74</v>
      </c>
      <c r="C36" s="28" t="s">
        <v>38</v>
      </c>
      <c r="D36" s="29"/>
      <c r="E36" s="42"/>
      <c r="F36" s="52">
        <f>SUM(E27:E35)</f>
        <v>1695.6</v>
      </c>
      <c r="G36" s="53">
        <f t="shared" si="7"/>
        <v>4393.2</v>
      </c>
      <c r="H36" s="16">
        <f t="shared" ref="H36" si="127">(ROUND(E35,1)+ROUND(E37,1))/2</f>
        <v>114.4</v>
      </c>
      <c r="I36" s="54">
        <f t="shared" ref="I36" si="128">J34</f>
        <v>228.8</v>
      </c>
      <c r="J36" s="53">
        <f t="shared" ref="J36" si="129">E37</f>
        <v>0</v>
      </c>
      <c r="K36" s="16">
        <f t="shared" ref="K36" si="130">ROUND(I36,1)+ROUND(J36,1)</f>
        <v>228.8</v>
      </c>
      <c r="L36" s="54">
        <f t="shared" ref="L36" si="131">E35/2-2649*(U34+V34+W34-U36-V36-W36)/(0.976*E35)</f>
        <v>28.32572079559786</v>
      </c>
      <c r="M36" s="53">
        <v>0</v>
      </c>
      <c r="N36" s="16">
        <f t="shared" ref="N36" si="132">L36+M36</f>
        <v>28.32572079559786</v>
      </c>
      <c r="O36" s="54">
        <f t="shared" ref="O36" si="133">E35/2-1794*(U34+V34+W34-U36-V36-W36)/(0.976*E35)</f>
        <v>56.107339791356189</v>
      </c>
      <c r="P36" s="53">
        <v>0</v>
      </c>
      <c r="Q36" s="16">
        <f t="shared" ref="Q36" si="134">O36+P36</f>
        <v>56.107339791356189</v>
      </c>
      <c r="R36" s="55"/>
      <c r="S36" s="38">
        <v>647553.07299999997</v>
      </c>
      <c r="T36" s="38">
        <v>1082367.9169999999</v>
      </c>
      <c r="U36" s="10">
        <v>-1.3859999999999999</v>
      </c>
      <c r="V36" s="30">
        <v>0</v>
      </c>
      <c r="W36" s="60"/>
      <c r="X36" s="61"/>
      <c r="Y36" s="62"/>
      <c r="Z36" s="28"/>
      <c r="AA36" s="39" t="str">
        <f>IF(OR(O36&lt;-600,P36&lt;-600,Q36&lt;-1000,O36&gt;600,P36&gt;600,Q36&gt;1000),"Check","Ok")</f>
        <v>Ok</v>
      </c>
      <c r="AB36" s="58"/>
      <c r="AC36" s="59"/>
    </row>
  </sheetData>
  <mergeCells count="24">
    <mergeCell ref="AB6:AB7"/>
    <mergeCell ref="AC6:AC7"/>
    <mergeCell ref="AA6:AA7"/>
    <mergeCell ref="D6:D7"/>
    <mergeCell ref="G6:G7"/>
    <mergeCell ref="R6:R7"/>
    <mergeCell ref="I6:K6"/>
    <mergeCell ref="H6:H7"/>
    <mergeCell ref="O6:Q6"/>
    <mergeCell ref="F6:F7"/>
    <mergeCell ref="V6:V7"/>
    <mergeCell ref="W6:W7"/>
    <mergeCell ref="S6:U6"/>
    <mergeCell ref="X6:Y6"/>
    <mergeCell ref="E6:E7"/>
    <mergeCell ref="L6:N6"/>
    <mergeCell ref="A1:Z1"/>
    <mergeCell ref="A2:Z2"/>
    <mergeCell ref="A3:Z3"/>
    <mergeCell ref="A4:Z4"/>
    <mergeCell ref="Z6:Z7"/>
    <mergeCell ref="A6:A7"/>
    <mergeCell ref="B6:B7"/>
    <mergeCell ref="C6:C7"/>
  </mergeCells>
  <phoneticPr fontId="0" type="noConversion"/>
  <printOptions horizontalCentered="1" gridLines="1"/>
  <pageMargins left="0.78740157480314998" right="0.55118110236220497" top="0.78740157480314998" bottom="0.82677165354330695" header="0.55118110236220497" footer="0.59055118110236204"/>
  <pageSetup paperSize="8" orientation="landscape" verticalDpi="300" r:id="rId1"/>
  <headerFooter alignWithMargins="0">
    <oddFooter>&amp;LSurveyor:  For Solutions, Cochin&amp;CPage &amp;P of &amp;N   &amp;ROwner: Kerala State Electricity Board, Kalamuserry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3" sqref="A3"/>
    </sheetView>
  </sheetViews>
  <sheetFormatPr defaultRowHeight="12.75" x14ac:dyDescent="0.2"/>
  <cols>
    <col min="1" max="1" width="21.5703125" style="32" customWidth="1"/>
    <col min="2" max="2" width="27.7109375" style="32" customWidth="1"/>
    <col min="3" max="16384" width="9.140625" style="32"/>
  </cols>
  <sheetData>
    <row r="1" spans="1:6" x14ac:dyDescent="0.2">
      <c r="A1" s="96" t="s">
        <v>42</v>
      </c>
      <c r="B1" s="96"/>
      <c r="E1" s="96"/>
      <c r="F1" s="96"/>
    </row>
    <row r="2" spans="1:6" x14ac:dyDescent="0.2">
      <c r="A2" s="33" t="s">
        <v>20</v>
      </c>
      <c r="B2" s="32">
        <v>13.88</v>
      </c>
      <c r="C2" s="32">
        <f>7.63+6.25</f>
        <v>13.879999999999999</v>
      </c>
      <c r="E2" s="33"/>
    </row>
    <row r="3" spans="1:6" x14ac:dyDescent="0.2">
      <c r="A3" s="33" t="s">
        <v>21</v>
      </c>
      <c r="B3" s="32">
        <v>6.25</v>
      </c>
      <c r="E3" s="33"/>
    </row>
    <row r="4" spans="1:6" x14ac:dyDescent="0.2">
      <c r="A4" s="33" t="s">
        <v>22</v>
      </c>
      <c r="B4" s="32">
        <v>22</v>
      </c>
      <c r="E4" s="33"/>
    </row>
    <row r="5" spans="1:6" x14ac:dyDescent="0.2">
      <c r="A5" s="33" t="s">
        <v>23</v>
      </c>
      <c r="B5" s="32">
        <v>1794</v>
      </c>
      <c r="E5" s="33"/>
    </row>
    <row r="6" spans="1:6" x14ac:dyDescent="0.2">
      <c r="A6" s="33" t="s">
        <v>24</v>
      </c>
      <c r="B6" s="32">
        <v>2649</v>
      </c>
      <c r="E6" s="33"/>
    </row>
    <row r="7" spans="1:6" x14ac:dyDescent="0.2">
      <c r="A7" s="33" t="s">
        <v>33</v>
      </c>
      <c r="B7" s="32">
        <v>0.97599999999999998</v>
      </c>
      <c r="E7" s="33"/>
    </row>
    <row r="8" spans="1:6" x14ac:dyDescent="0.2">
      <c r="A8" s="33" t="s">
        <v>25</v>
      </c>
      <c r="B8" s="32">
        <v>20</v>
      </c>
      <c r="E8" s="33"/>
    </row>
    <row r="9" spans="1:6" x14ac:dyDescent="0.2">
      <c r="A9" s="33" t="s">
        <v>26</v>
      </c>
      <c r="B9" s="32">
        <v>2</v>
      </c>
      <c r="E9" s="33"/>
    </row>
    <row r="10" spans="1:6" x14ac:dyDescent="0.2">
      <c r="A10" s="33" t="s">
        <v>27</v>
      </c>
      <c r="B10" s="32">
        <v>1000</v>
      </c>
      <c r="E10" s="33"/>
    </row>
    <row r="11" spans="1:6" x14ac:dyDescent="0.2">
      <c r="A11" s="33" t="s">
        <v>28</v>
      </c>
      <c r="B11" s="32">
        <v>100</v>
      </c>
      <c r="E11" s="33"/>
    </row>
    <row r="12" spans="1:6" x14ac:dyDescent="0.2">
      <c r="A12" s="33" t="s">
        <v>29</v>
      </c>
      <c r="B12" s="32">
        <v>2000</v>
      </c>
      <c r="E12" s="33"/>
    </row>
    <row r="13" spans="1:6" x14ac:dyDescent="0.2">
      <c r="A13" s="33" t="s">
        <v>30</v>
      </c>
      <c r="B13" s="32">
        <v>220</v>
      </c>
      <c r="E13" s="33"/>
    </row>
    <row r="14" spans="1:6" x14ac:dyDescent="0.2">
      <c r="A14" s="33" t="s">
        <v>31</v>
      </c>
      <c r="B14" s="32">
        <v>185</v>
      </c>
      <c r="E14" s="33"/>
    </row>
    <row r="15" spans="1:6" x14ac:dyDescent="0.2">
      <c r="A15" s="33" t="s">
        <v>32</v>
      </c>
      <c r="B15" s="32">
        <v>1000</v>
      </c>
      <c r="E15" s="33"/>
    </row>
  </sheetData>
  <mergeCells count="2">
    <mergeCell ref="A1:B1"/>
    <mergeCell ref="E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TS</vt:lpstr>
      <vt:lpstr>TSD</vt:lpstr>
      <vt:lpstr>TS!Print_Area</vt:lpstr>
      <vt:lpstr>TS!Print_Titles</vt:lpstr>
    </vt:vector>
  </TitlesOfParts>
  <Company>intecinfocom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</dc:creator>
  <cp:lastModifiedBy>Narayana Perumal</cp:lastModifiedBy>
  <cp:lastPrinted>2018-01-03T07:35:19Z</cp:lastPrinted>
  <dcterms:created xsi:type="dcterms:W3CDTF">2006-10-04T09:23:58Z</dcterms:created>
  <dcterms:modified xsi:type="dcterms:W3CDTF">2018-01-10T07:47:10Z</dcterms:modified>
</cp:coreProperties>
</file>